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49142622-8EAE-456E-964C-61E57B6A0E9A}" xr6:coauthVersionLast="36" xr6:coauthVersionMax="36" xr10:uidLastSave="{00000000-0000-0000-0000-000000000000}"/>
  <bookViews>
    <workbookView xWindow="-105" yWindow="-105" windowWidth="23250" windowHeight="12570" xr2:uid="{3269A20D-0B06-453C-AA6B-BEEBCEE18560}"/>
  </bookViews>
  <sheets>
    <sheet name="Yields and Returns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7">#REF!</definedName>
    <definedName name="Home8">'Yields and Returns'!$A$4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M9" i="1"/>
  <c r="O9" i="1"/>
  <c r="D19" i="1"/>
  <c r="E19" i="1" s="1"/>
  <c r="D24" i="1"/>
  <c r="G24" i="1" s="1"/>
  <c r="D23" i="1"/>
  <c r="D20" i="1"/>
  <c r="E20" i="1" s="1"/>
  <c r="D21" i="1"/>
  <c r="G21" i="1" s="1"/>
  <c r="D22" i="1"/>
  <c r="E22" i="1" s="1"/>
  <c r="Q12" i="1"/>
  <c r="Q11" i="1"/>
  <c r="Q10" i="1"/>
  <c r="Q9" i="1"/>
  <c r="N11" i="1"/>
  <c r="N10" i="1"/>
  <c r="N9" i="1"/>
  <c r="M13" i="1"/>
  <c r="M11" i="1"/>
  <c r="M12" i="1"/>
  <c r="M10" i="1"/>
  <c r="O12" i="1"/>
  <c r="O11" i="1"/>
  <c r="O10" i="1"/>
  <c r="B6" i="1"/>
  <c r="D32" i="1" l="1"/>
  <c r="D30" i="1"/>
  <c r="E32" i="1"/>
  <c r="D31" i="1"/>
  <c r="D29" i="1"/>
  <c r="F22" i="1"/>
  <c r="E24" i="1"/>
  <c r="F24" i="1"/>
  <c r="G23" i="1"/>
  <c r="E23" i="1"/>
  <c r="F23" i="1"/>
  <c r="F20" i="1"/>
  <c r="E21" i="1"/>
  <c r="E29" i="1" s="1"/>
  <c r="F21" i="1"/>
  <c r="G22" i="1"/>
  <c r="F19" i="1"/>
  <c r="F32" i="1" s="1"/>
  <c r="G19" i="1"/>
  <c r="G20" i="1"/>
  <c r="G30" i="1" l="1"/>
  <c r="G32" i="1"/>
  <c r="G29" i="1"/>
  <c r="G31" i="1"/>
  <c r="F31" i="1"/>
  <c r="F30" i="1"/>
  <c r="E30" i="1"/>
  <c r="F29" i="1"/>
</calcChain>
</file>

<file path=xl/sharedStrings.xml><?xml version="1.0" encoding="utf-8"?>
<sst xmlns="http://schemas.openxmlformats.org/spreadsheetml/2006/main" count="46" uniqueCount="38">
  <si>
    <t>▲Top</t>
  </si>
  <si>
    <t>© Joseph Farizo</t>
  </si>
  <si>
    <t>Coupon Rate</t>
  </si>
  <si>
    <t>Years to Maturity</t>
  </si>
  <si>
    <t>PV</t>
  </si>
  <si>
    <t>PMT</t>
  </si>
  <si>
    <t>N</t>
  </si>
  <si>
    <t>FV</t>
  </si>
  <si>
    <t>Bond Yields and Returns Calculators</t>
  </si>
  <si>
    <t>Example: Bond Yield Calculators</t>
  </si>
  <si>
    <t>Annual Coupons</t>
  </si>
  <si>
    <t>Semiannual Coupons</t>
  </si>
  <si>
    <t>Quarterly Coupons</t>
  </si>
  <si>
    <t>Monthly Coupons</t>
  </si>
  <si>
    <t>Bond Price</t>
  </si>
  <si>
    <t>(a)</t>
  </si>
  <si>
    <t>YTM</t>
  </si>
  <si>
    <t>(b)</t>
  </si>
  <si>
    <t>YTC</t>
  </si>
  <si>
    <t>(c)</t>
  </si>
  <si>
    <t xml:space="preserve">(d) </t>
  </si>
  <si>
    <t>Current Yield</t>
  </si>
  <si>
    <t>Call Price</t>
  </si>
  <si>
    <t>Sale Price</t>
  </si>
  <si>
    <t>Years Held</t>
  </si>
  <si>
    <t>Face Value</t>
  </si>
  <si>
    <t>Face</t>
  </si>
  <si>
    <t>Years</t>
  </si>
  <si>
    <t>CR</t>
  </si>
  <si>
    <t>Call Years</t>
  </si>
  <si>
    <t>Callable in (Years)</t>
  </si>
  <si>
    <t>FV (callable)</t>
  </si>
  <si>
    <t>N (call)</t>
  </si>
  <si>
    <t>Select Inputs from Drop Down Lists</t>
  </si>
  <si>
    <t>Calculator Inputs</t>
  </si>
  <si>
    <t>Solutions: Yields and Returns</t>
  </si>
  <si>
    <t>HPR*</t>
  </si>
  <si>
    <t>*with simplifying assumptions: all coupons at end and no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</si>
</sst>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77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20"/>
      <color theme="0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ourier New"/>
      <family val="3"/>
    </font>
    <font>
      <sz val="11"/>
      <color rgb="FFEFE0D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3">
      <alignment horizontal="left"/>
    </xf>
    <xf numFmtId="0" fontId="3" fillId="4" borderId="0">
      <alignment horizontal="left"/>
    </xf>
  </cellStyleXfs>
  <cellXfs count="5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4" fillId="3" borderId="0" xfId="3" applyAlignment="1">
      <alignment horizontal="right"/>
    </xf>
    <xf numFmtId="0" fontId="4" fillId="3" borderId="0" xfId="3">
      <alignment horizontal="center"/>
    </xf>
    <xf numFmtId="0" fontId="4" fillId="3" borderId="0" xfId="3" applyAlignment="1">
      <alignment horizontal="left"/>
    </xf>
    <xf numFmtId="0" fontId="4" fillId="3" borderId="0" xfId="2" applyFont="1" applyFill="1" applyAlignment="1">
      <alignment horizontal="center"/>
    </xf>
    <xf numFmtId="0" fontId="3" fillId="4" borderId="0" xfId="0" applyFont="1" applyFill="1"/>
    <xf numFmtId="0" fontId="3" fillId="6" borderId="0" xfId="0" applyFont="1" applyFill="1" applyAlignment="1"/>
    <xf numFmtId="0" fontId="9" fillId="4" borderId="0" xfId="0" applyFont="1" applyFill="1"/>
    <xf numFmtId="0" fontId="9" fillId="4" borderId="1" xfId="0" applyFont="1" applyFill="1" applyBorder="1"/>
    <xf numFmtId="0" fontId="9" fillId="4" borderId="0" xfId="5" applyFont="1">
      <alignment horizontal="left"/>
    </xf>
    <xf numFmtId="0" fontId="11" fillId="4" borderId="0" xfId="0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8" fillId="5" borderId="3" xfId="4" applyFont="1" applyAlignment="1">
      <alignment horizontal="left"/>
    </xf>
    <xf numFmtId="0" fontId="9" fillId="4" borderId="0" xfId="0" applyFont="1" applyFill="1" applyAlignment="1">
      <alignment horizontal="right" wrapText="1"/>
    </xf>
    <xf numFmtId="0" fontId="3" fillId="4" borderId="0" xfId="0" applyFont="1" applyFill="1" applyAlignment="1"/>
    <xf numFmtId="10" fontId="9" fillId="4" borderId="0" xfId="1" applyNumberFormat="1" applyFont="1" applyFill="1" applyAlignment="1">
      <alignment horizontal="center" wrapText="1"/>
    </xf>
    <xf numFmtId="0" fontId="10" fillId="7" borderId="5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" wrapText="1"/>
    </xf>
    <xf numFmtId="164" fontId="9" fillId="4" borderId="0" xfId="0" applyNumberFormat="1" applyFont="1" applyFill="1" applyAlignment="1">
      <alignment horizontal="center" wrapText="1"/>
    </xf>
    <xf numFmtId="177" fontId="9" fillId="4" borderId="0" xfId="0" applyNumberFormat="1" applyFont="1" applyFill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Alignment="1">
      <alignment horizontal="center"/>
    </xf>
    <xf numFmtId="165" fontId="9" fillId="8" borderId="0" xfId="0" applyNumberFormat="1" applyFont="1" applyFill="1" applyAlignment="1">
      <alignment horizontal="center"/>
    </xf>
    <xf numFmtId="0" fontId="9" fillId="8" borderId="0" xfId="0" applyFont="1" applyFill="1" applyAlignment="1">
      <alignment horizontal="center"/>
    </xf>
    <xf numFmtId="9" fontId="9" fillId="8" borderId="0" xfId="0" applyNumberFormat="1" applyFont="1" applyFill="1" applyAlignment="1">
      <alignment horizontal="center"/>
    </xf>
    <xf numFmtId="0" fontId="3" fillId="4" borderId="1" xfId="0" applyFont="1" applyFill="1" applyBorder="1"/>
    <xf numFmtId="1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12" fillId="4" borderId="0" xfId="0" applyFont="1" applyFill="1" applyBorder="1"/>
    <xf numFmtId="0" fontId="9" fillId="4" borderId="0" xfId="0" applyFont="1" applyFill="1" applyBorder="1"/>
    <xf numFmtId="0" fontId="13" fillId="4" borderId="0" xfId="0" applyFont="1" applyFill="1" applyBorder="1" applyAlignment="1">
      <alignment horizontal="left"/>
    </xf>
    <xf numFmtId="0" fontId="3" fillId="4" borderId="0" xfId="0" applyFont="1" applyFill="1" applyBorder="1"/>
    <xf numFmtId="10" fontId="9" fillId="4" borderId="1" xfId="1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/>
    </xf>
    <xf numFmtId="165" fontId="11" fillId="4" borderId="0" xfId="0" applyNumberFormat="1" applyFont="1" applyFill="1" applyAlignment="1">
      <alignment horizontal="center"/>
    </xf>
    <xf numFmtId="9" fontId="11" fillId="4" borderId="0" xfId="0" applyNumberFormat="1" applyFont="1" applyFill="1"/>
    <xf numFmtId="0" fontId="13" fillId="4" borderId="3" xfId="0" applyFont="1" applyFill="1" applyBorder="1"/>
    <xf numFmtId="0" fontId="3" fillId="4" borderId="3" xfId="0" applyFont="1" applyFill="1" applyBorder="1"/>
    <xf numFmtId="0" fontId="9" fillId="4" borderId="3" xfId="0" applyFont="1" applyFill="1" applyBorder="1"/>
    <xf numFmtId="0" fontId="9" fillId="4" borderId="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right" wrapText="1"/>
    </xf>
    <xf numFmtId="0" fontId="8" fillId="4" borderId="0" xfId="0" applyFont="1" applyFill="1" applyAlignment="1">
      <alignment horizontal="left" wrapText="1"/>
    </xf>
  </cellXfs>
  <cellStyles count="6">
    <cellStyle name="Example" xfId="4" xr:uid="{45B55FE3-F99A-49C8-A0EB-68AEDF199F28}"/>
    <cellStyle name="Hyperlink" xfId="2" builtinId="8"/>
    <cellStyle name="NavigationLink" xfId="3" xr:uid="{013CC75F-3250-4BCB-887C-A41A5102A1E4}"/>
    <cellStyle name="Normal" xfId="0" builtinId="0"/>
    <cellStyle name="Percent" xfId="1" builtinId="5"/>
    <cellStyle name="TopLink" xfId="5" xr:uid="{355B87CD-91E6-41A5-9A97-C0019CF8820A}"/>
  </cellStyles>
  <dxfs count="0"/>
  <tableStyles count="0" defaultTableStyle="TableStyleMedium2" defaultPivotStyle="PivotStyleLight16"/>
  <colors>
    <mruColors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02EF-7F45-4381-BA90-C869DBCB7C1E}">
  <sheetPr codeName="Sheet9">
    <pageSetUpPr autoPageBreaks="0" fitToPage="1"/>
  </sheetPr>
  <dimension ref="A1:R37"/>
  <sheetViews>
    <sheetView tabSelected="1" zoomScale="115" zoomScaleNormal="11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7" customWidth="1"/>
    <col min="2" max="2" width="12.42578125" style="7" customWidth="1"/>
    <col min="3" max="3" width="17" style="7" bestFit="1" customWidth="1"/>
    <col min="4" max="7" width="16.7109375" style="7" customWidth="1"/>
    <col min="8" max="8" width="12.42578125" style="7" customWidth="1"/>
    <col min="9" max="11" width="8.85546875" style="7" customWidth="1"/>
    <col min="12" max="16384" width="8.85546875" style="7"/>
  </cols>
  <sheetData>
    <row r="1" spans="2:18" s="1" customFormat="1" ht="13.9" customHeight="1" x14ac:dyDescent="0.2"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2:18" s="1" customFormat="1" ht="13.9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  <c r="O2" s="16"/>
    </row>
    <row r="3" spans="2:18" s="2" customFormat="1" x14ac:dyDescent="0.2">
      <c r="I3" s="3"/>
      <c r="J3" s="4"/>
      <c r="K3" s="5"/>
      <c r="L3" s="6"/>
    </row>
    <row r="5" spans="2:18" ht="15" x14ac:dyDescent="0.25">
      <c r="B5" s="18" t="s">
        <v>9</v>
      </c>
      <c r="C5" s="18"/>
      <c r="D5" s="18"/>
      <c r="E5" s="18"/>
      <c r="F5" s="18"/>
      <c r="G5" s="18"/>
      <c r="H5" s="18"/>
      <c r="I5" s="18"/>
    </row>
    <row r="6" spans="2:18" x14ac:dyDescent="0.2">
      <c r="B6" s="49" t="str">
        <f>"Determine the (a) Yield to Maturity, (b) Yield to Call, (c) Current Yield, and (d) Holding Period Return for a bond with the characteristics below:"</f>
        <v>Determine the (a) Yield to Maturity, (b) Yield to Call, (c) Current Yield, and (d) Holding Period Return for a bond with the characteristics below:</v>
      </c>
      <c r="C6" s="49"/>
      <c r="D6" s="49"/>
      <c r="E6" s="49"/>
      <c r="F6" s="49"/>
      <c r="G6" s="49"/>
      <c r="H6" s="49"/>
      <c r="I6" s="49"/>
      <c r="J6" s="9"/>
      <c r="K6" s="9"/>
      <c r="L6" s="9"/>
      <c r="M6" s="9"/>
      <c r="N6" s="9"/>
      <c r="O6" s="9"/>
      <c r="P6" s="9"/>
      <c r="Q6" s="9"/>
      <c r="R6" s="9"/>
    </row>
    <row r="7" spans="2:18" x14ac:dyDescent="0.2">
      <c r="B7" s="50"/>
      <c r="C7" s="50"/>
      <c r="D7" s="50"/>
      <c r="E7" s="50"/>
      <c r="F7" s="50"/>
      <c r="G7" s="50"/>
      <c r="H7" s="50"/>
      <c r="I7" s="50"/>
      <c r="J7" s="9"/>
      <c r="K7" s="9"/>
      <c r="L7" s="9"/>
      <c r="M7" s="9"/>
      <c r="N7" s="9"/>
      <c r="O7" s="9"/>
      <c r="P7" s="9"/>
      <c r="Q7" s="9"/>
      <c r="R7" s="9"/>
    </row>
    <row r="8" spans="2:18" x14ac:dyDescent="0.2">
      <c r="B8" s="14"/>
      <c r="C8" s="14"/>
      <c r="D8" s="14"/>
      <c r="E8" s="14"/>
      <c r="F8" s="14"/>
      <c r="G8" s="14"/>
      <c r="H8" s="14"/>
      <c r="I8" s="14"/>
      <c r="J8" s="12" t="s">
        <v>26</v>
      </c>
      <c r="K8" s="12" t="s">
        <v>27</v>
      </c>
      <c r="L8" s="12" t="s">
        <v>28</v>
      </c>
      <c r="M8" s="12" t="s">
        <v>14</v>
      </c>
      <c r="N8" s="12" t="s">
        <v>23</v>
      </c>
      <c r="O8" s="12" t="s">
        <v>22</v>
      </c>
      <c r="P8" s="12" t="s">
        <v>29</v>
      </c>
      <c r="Q8" s="12" t="s">
        <v>24</v>
      </c>
      <c r="R8" s="9"/>
    </row>
    <row r="9" spans="2:18" x14ac:dyDescent="0.2">
      <c r="B9" s="44" t="s">
        <v>33</v>
      </c>
      <c r="C9" s="45"/>
      <c r="D9" s="45"/>
      <c r="E9" s="45"/>
      <c r="F9" s="45"/>
      <c r="G9" s="45"/>
      <c r="H9" s="46"/>
      <c r="I9" s="9"/>
      <c r="J9" s="42">
        <v>7000</v>
      </c>
      <c r="K9" s="12">
        <v>15</v>
      </c>
      <c r="L9" s="43">
        <v>0.03</v>
      </c>
      <c r="M9" s="42">
        <f>D10-500</f>
        <v>6500</v>
      </c>
      <c r="N9" s="42">
        <f>D10+1000</f>
        <v>8000</v>
      </c>
      <c r="O9" s="42">
        <f>D10*1.05</f>
        <v>7350</v>
      </c>
      <c r="P9" s="12">
        <v>2</v>
      </c>
      <c r="Q9" s="12">
        <f>G12+1</f>
        <v>4</v>
      </c>
      <c r="R9" s="9"/>
    </row>
    <row r="10" spans="2:18" x14ac:dyDescent="0.2">
      <c r="B10" s="9"/>
      <c r="C10" s="19" t="s">
        <v>25</v>
      </c>
      <c r="D10" s="30">
        <v>7000</v>
      </c>
      <c r="E10" s="9"/>
      <c r="F10" s="13" t="s">
        <v>23</v>
      </c>
      <c r="G10" s="30">
        <v>8000</v>
      </c>
      <c r="H10" s="9"/>
      <c r="I10" s="9"/>
      <c r="J10" s="42">
        <v>8000</v>
      </c>
      <c r="K10" s="12">
        <v>20</v>
      </c>
      <c r="L10" s="43">
        <v>0.04</v>
      </c>
      <c r="M10" s="42">
        <f>D10-250</f>
        <v>6750</v>
      </c>
      <c r="N10" s="42">
        <f>D10+1100</f>
        <v>8100</v>
      </c>
      <c r="O10" s="42">
        <f>D10*1.08</f>
        <v>7560.0000000000009</v>
      </c>
      <c r="P10" s="12">
        <v>3</v>
      </c>
      <c r="Q10" s="12">
        <f>G12+2</f>
        <v>5</v>
      </c>
      <c r="R10" s="9"/>
    </row>
    <row r="11" spans="2:18" x14ac:dyDescent="0.2">
      <c r="B11" s="9"/>
      <c r="C11" s="13" t="s">
        <v>3</v>
      </c>
      <c r="D11" s="31">
        <v>30</v>
      </c>
      <c r="E11" s="9"/>
      <c r="F11" s="13" t="s">
        <v>22</v>
      </c>
      <c r="G11" s="30">
        <v>7350</v>
      </c>
      <c r="H11" s="9"/>
      <c r="I11" s="9"/>
      <c r="J11" s="42">
        <v>9000</v>
      </c>
      <c r="K11" s="12">
        <v>25</v>
      </c>
      <c r="L11" s="43">
        <v>0.05</v>
      </c>
      <c r="M11" s="42">
        <f>D10</f>
        <v>7000</v>
      </c>
      <c r="N11" s="42">
        <f>D10+1200</f>
        <v>8200</v>
      </c>
      <c r="O11" s="42">
        <f>D10*1.1</f>
        <v>7700.0000000000009</v>
      </c>
      <c r="P11" s="12">
        <v>4</v>
      </c>
      <c r="Q11" s="12">
        <f>G12+3</f>
        <v>6</v>
      </c>
      <c r="R11" s="9"/>
    </row>
    <row r="12" spans="2:18" x14ac:dyDescent="0.2">
      <c r="B12" s="9"/>
      <c r="C12" s="13" t="s">
        <v>2</v>
      </c>
      <c r="D12" s="32">
        <v>0.04</v>
      </c>
      <c r="E12" s="9"/>
      <c r="F12" s="13" t="s">
        <v>30</v>
      </c>
      <c r="G12" s="31">
        <v>3</v>
      </c>
      <c r="H12" s="9"/>
      <c r="I12" s="9"/>
      <c r="J12" s="42">
        <v>10000</v>
      </c>
      <c r="K12" s="12">
        <v>30</v>
      </c>
      <c r="L12" s="43">
        <v>0.06</v>
      </c>
      <c r="M12" s="42">
        <f>D10+250</f>
        <v>7250</v>
      </c>
      <c r="N12" s="12"/>
      <c r="O12" s="42">
        <f>D10*1.15</f>
        <v>8049.9999999999991</v>
      </c>
      <c r="P12" s="12">
        <v>5</v>
      </c>
      <c r="Q12" s="12">
        <f>G12+4</f>
        <v>7</v>
      </c>
      <c r="R12" s="9"/>
    </row>
    <row r="13" spans="2:18" x14ac:dyDescent="0.2">
      <c r="B13" s="9"/>
      <c r="C13" s="19" t="s">
        <v>14</v>
      </c>
      <c r="D13" s="30">
        <v>6500</v>
      </c>
      <c r="E13" s="9"/>
      <c r="F13" s="19" t="s">
        <v>24</v>
      </c>
      <c r="G13" s="31">
        <v>6</v>
      </c>
      <c r="H13" s="9"/>
      <c r="I13" s="9"/>
      <c r="J13" s="42">
        <v>11000</v>
      </c>
      <c r="K13" s="12"/>
      <c r="L13" s="12"/>
      <c r="M13" s="42">
        <f>D10+500</f>
        <v>7500</v>
      </c>
      <c r="N13" s="12"/>
      <c r="O13" s="12"/>
      <c r="P13" s="12"/>
      <c r="Q13" s="12"/>
      <c r="R13" s="9"/>
    </row>
    <row r="14" spans="2:18" x14ac:dyDescent="0.2">
      <c r="B14" s="9"/>
      <c r="C14" s="19"/>
      <c r="D14" s="9"/>
      <c r="E14" s="9"/>
      <c r="F14" s="9"/>
      <c r="G14" s="9"/>
      <c r="H14" s="9"/>
      <c r="I14" s="9"/>
      <c r="J14" s="29"/>
      <c r="K14" s="9"/>
      <c r="L14" s="9"/>
      <c r="M14" s="29"/>
      <c r="N14" s="9"/>
      <c r="O14" s="9"/>
      <c r="P14" s="9"/>
      <c r="Q14" s="9"/>
      <c r="R14" s="9"/>
    </row>
    <row r="15" spans="2:18" x14ac:dyDescent="0.2">
      <c r="B15" s="9"/>
      <c r="C15" s="19"/>
      <c r="D15" s="9"/>
      <c r="E15" s="9"/>
      <c r="F15" s="9"/>
      <c r="G15" s="9"/>
      <c r="H15" s="9"/>
      <c r="I15" s="9"/>
      <c r="J15" s="29"/>
      <c r="K15" s="9"/>
      <c r="L15" s="9"/>
      <c r="M15" s="29"/>
      <c r="N15" s="9"/>
      <c r="O15" s="9"/>
      <c r="P15" s="9"/>
      <c r="Q15" s="9"/>
      <c r="R15" s="9"/>
    </row>
    <row r="16" spans="2:18" x14ac:dyDescent="0.2">
      <c r="B16" s="44" t="s">
        <v>34</v>
      </c>
      <c r="C16" s="46"/>
      <c r="D16" s="46"/>
      <c r="E16" s="47"/>
      <c r="F16" s="47"/>
      <c r="G16" s="47"/>
      <c r="H16" s="47"/>
      <c r="I16" s="14"/>
      <c r="J16" s="9"/>
      <c r="K16" s="9"/>
      <c r="L16" s="9"/>
      <c r="M16" s="9"/>
      <c r="N16" s="9"/>
      <c r="O16" s="9"/>
      <c r="P16" s="9"/>
      <c r="Q16" s="9"/>
      <c r="R16" s="9"/>
    </row>
    <row r="17" spans="2:18" x14ac:dyDescent="0.2">
      <c r="B17" s="36"/>
      <c r="C17" s="37"/>
      <c r="D17" s="10"/>
      <c r="E17" s="35"/>
      <c r="F17" s="35"/>
      <c r="G17" s="35"/>
      <c r="H17" s="14"/>
      <c r="I17" s="14"/>
      <c r="J17" s="9"/>
      <c r="K17" s="9"/>
      <c r="L17" s="9"/>
      <c r="M17" s="9"/>
      <c r="N17" s="9"/>
      <c r="O17" s="9"/>
      <c r="P17" s="9"/>
      <c r="Q17" s="9"/>
      <c r="R17" s="9"/>
    </row>
    <row r="18" spans="2:18" ht="30" x14ac:dyDescent="0.2">
      <c r="C18" s="9"/>
      <c r="D18" s="28" t="s">
        <v>10</v>
      </c>
      <c r="E18" s="28" t="s">
        <v>11</v>
      </c>
      <c r="F18" s="28" t="s">
        <v>12</v>
      </c>
      <c r="G18" s="28" t="s">
        <v>13</v>
      </c>
      <c r="H18" s="14"/>
      <c r="I18" s="14"/>
      <c r="J18" s="9"/>
      <c r="K18" s="9"/>
      <c r="L18" s="9"/>
      <c r="M18" s="9"/>
      <c r="N18" s="9"/>
      <c r="O18" s="9"/>
      <c r="P18" s="9"/>
      <c r="Q18" s="9"/>
      <c r="R18" s="9"/>
    </row>
    <row r="19" spans="2:18" ht="15" x14ac:dyDescent="0.25">
      <c r="B19" s="14"/>
      <c r="C19" s="24" t="s">
        <v>4</v>
      </c>
      <c r="D19" s="29">
        <f>-D13</f>
        <v>-6500</v>
      </c>
      <c r="E19" s="29">
        <f>D19</f>
        <v>-6500</v>
      </c>
      <c r="F19" s="29">
        <f>D19</f>
        <v>-6500</v>
      </c>
      <c r="G19" s="29">
        <f>D19</f>
        <v>-6500</v>
      </c>
      <c r="H19" s="14"/>
      <c r="I19" s="14"/>
    </row>
    <row r="20" spans="2:18" ht="15" x14ac:dyDescent="0.25">
      <c r="B20" s="14"/>
      <c r="C20" s="23" t="s">
        <v>7</v>
      </c>
      <c r="D20" s="29">
        <f>D10</f>
        <v>7000</v>
      </c>
      <c r="E20" s="29">
        <f>D20</f>
        <v>7000</v>
      </c>
      <c r="F20" s="29">
        <f>D20</f>
        <v>7000</v>
      </c>
      <c r="G20" s="29">
        <f>D20</f>
        <v>7000</v>
      </c>
      <c r="H20" s="14"/>
      <c r="I20" s="14"/>
    </row>
    <row r="21" spans="2:18" ht="15" x14ac:dyDescent="0.25">
      <c r="B21" s="14"/>
      <c r="C21" s="23" t="s">
        <v>5</v>
      </c>
      <c r="D21" s="26">
        <f>D12*D10</f>
        <v>280</v>
      </c>
      <c r="E21" s="26">
        <f>D21/2</f>
        <v>140</v>
      </c>
      <c r="F21" s="26">
        <f>D21/4</f>
        <v>70</v>
      </c>
      <c r="G21" s="26">
        <f>D21/12</f>
        <v>23.333333333333332</v>
      </c>
      <c r="H21" s="14"/>
      <c r="I21" s="14"/>
    </row>
    <row r="22" spans="2:18" ht="15" x14ac:dyDescent="0.25">
      <c r="B22" s="14"/>
      <c r="C22" s="23" t="s">
        <v>6</v>
      </c>
      <c r="D22" s="25">
        <f>D11</f>
        <v>30</v>
      </c>
      <c r="E22" s="25">
        <f>D22*2</f>
        <v>60</v>
      </c>
      <c r="F22" s="25">
        <f>D22*4</f>
        <v>120</v>
      </c>
      <c r="G22" s="25">
        <f>D22*12</f>
        <v>360</v>
      </c>
      <c r="H22" s="14"/>
      <c r="I22" s="14"/>
      <c r="K22" s="20"/>
    </row>
    <row r="23" spans="2:18" ht="15" x14ac:dyDescent="0.25">
      <c r="B23" s="14"/>
      <c r="C23" s="23" t="s">
        <v>31</v>
      </c>
      <c r="D23" s="29">
        <f>G11</f>
        <v>7350</v>
      </c>
      <c r="E23" s="29">
        <f>D23</f>
        <v>7350</v>
      </c>
      <c r="F23" s="29">
        <f>D23</f>
        <v>7350</v>
      </c>
      <c r="G23" s="29">
        <f>D23</f>
        <v>7350</v>
      </c>
      <c r="H23" s="14"/>
      <c r="I23" s="14"/>
    </row>
    <row r="24" spans="2:18" ht="15" x14ac:dyDescent="0.25">
      <c r="B24" s="14"/>
      <c r="C24" s="22" t="s">
        <v>32</v>
      </c>
      <c r="D24" s="34">
        <f>G12</f>
        <v>3</v>
      </c>
      <c r="E24" s="34">
        <f>D24*2</f>
        <v>6</v>
      </c>
      <c r="F24" s="34">
        <f>D24*4</f>
        <v>12</v>
      </c>
      <c r="G24" s="34">
        <f>D24*12</f>
        <v>36</v>
      </c>
      <c r="H24" s="14"/>
      <c r="I24" s="14"/>
    </row>
    <row r="25" spans="2:18" x14ac:dyDescent="0.2">
      <c r="B25" s="14"/>
      <c r="C25" s="14"/>
      <c r="D25" s="25"/>
      <c r="E25" s="25"/>
      <c r="F25" s="25"/>
      <c r="G25" s="25"/>
      <c r="H25" s="14"/>
      <c r="I25" s="14"/>
    </row>
    <row r="26" spans="2:18" x14ac:dyDescent="0.2">
      <c r="B26" s="48" t="s">
        <v>35</v>
      </c>
      <c r="C26" s="45"/>
      <c r="D26" s="45"/>
      <c r="E26" s="45"/>
      <c r="F26" s="45"/>
      <c r="G26" s="45"/>
      <c r="H26" s="47"/>
      <c r="I26" s="14"/>
    </row>
    <row r="27" spans="2:18" x14ac:dyDescent="0.2">
      <c r="B27" s="38"/>
      <c r="C27" s="39"/>
      <c r="D27" s="33"/>
      <c r="E27" s="33"/>
      <c r="F27" s="33"/>
      <c r="G27" s="33"/>
      <c r="H27" s="14"/>
      <c r="I27" s="14"/>
    </row>
    <row r="28" spans="2:18" ht="30" x14ac:dyDescent="0.2">
      <c r="B28" s="38"/>
      <c r="C28" s="39"/>
      <c r="D28" s="28" t="s">
        <v>10</v>
      </c>
      <c r="E28" s="28" t="s">
        <v>11</v>
      </c>
      <c r="F28" s="28" t="s">
        <v>12</v>
      </c>
      <c r="G28" s="28" t="s">
        <v>13</v>
      </c>
      <c r="H28" s="14"/>
      <c r="I28" s="14"/>
    </row>
    <row r="29" spans="2:18" ht="15" x14ac:dyDescent="0.25">
      <c r="B29" s="51" t="s">
        <v>15</v>
      </c>
      <c r="C29" s="52" t="s">
        <v>16</v>
      </c>
      <c r="D29" s="27">
        <f>RATE(D22,D21,D19,D20)</f>
        <v>4.4351724068156691E-2</v>
      </c>
      <c r="E29" s="27">
        <f>RATE(E22,E21,E19,E20)*2</f>
        <v>4.4327819095099578E-2</v>
      </c>
      <c r="F29" s="27">
        <f>RATE(F22,F21,F19,F20)*4</f>
        <v>4.4315836452356365E-2</v>
      </c>
      <c r="G29" s="27">
        <f>RATE(G22,G21,G19,G20)*12</f>
        <v>4.4307836705645004E-2</v>
      </c>
      <c r="H29" s="14"/>
      <c r="I29" s="14"/>
    </row>
    <row r="30" spans="2:18" ht="15" x14ac:dyDescent="0.25">
      <c r="B30" s="51" t="s">
        <v>17</v>
      </c>
      <c r="C30" s="52" t="s">
        <v>18</v>
      </c>
      <c r="D30" s="27">
        <f>RATE(D24,D21,D19,D23)</f>
        <v>8.3231781597041324E-2</v>
      </c>
      <c r="E30" s="27">
        <f>RATE(E24,E21,E19,E23)*2</f>
        <v>8.2388746721777206E-2</v>
      </c>
      <c r="F30" s="27">
        <f>RATE(F24,F21,F19,F23)*4</f>
        <v>8.1969467661279286E-2</v>
      </c>
      <c r="G30" s="27">
        <f>RATE(G24,G21,G19,G23)*12</f>
        <v>8.1690762865942915E-2</v>
      </c>
      <c r="H30" s="14"/>
      <c r="I30" s="14"/>
    </row>
    <row r="31" spans="2:18" ht="15" x14ac:dyDescent="0.25">
      <c r="B31" s="51" t="s">
        <v>19</v>
      </c>
      <c r="C31" s="52" t="s">
        <v>21</v>
      </c>
      <c r="D31" s="21">
        <f>-D21/D19</f>
        <v>4.3076923076923075E-2</v>
      </c>
      <c r="E31" s="21">
        <f>-E21*2/E19</f>
        <v>4.3076923076923075E-2</v>
      </c>
      <c r="F31" s="21">
        <f>-F21*4/F19</f>
        <v>4.3076923076923075E-2</v>
      </c>
      <c r="G31" s="21">
        <f>-G21*12/G19</f>
        <v>4.3076923076923075E-2</v>
      </c>
      <c r="H31" s="14"/>
      <c r="I31" s="14"/>
    </row>
    <row r="32" spans="2:18" ht="15" x14ac:dyDescent="0.25">
      <c r="B32" s="51" t="s">
        <v>20</v>
      </c>
      <c r="C32" s="52" t="s">
        <v>36</v>
      </c>
      <c r="D32" s="40">
        <f>(($D$21*$G$13)+($G$10--D19))/-D19</f>
        <v>0.48923076923076925</v>
      </c>
      <c r="E32" s="40">
        <f>(($D$21*$G$13)+($G$10--E19))/-E19</f>
        <v>0.48923076923076925</v>
      </c>
      <c r="F32" s="40">
        <f>(($D$21*$G$13)+($G$10--F19))/-F19</f>
        <v>0.48923076923076925</v>
      </c>
      <c r="G32" s="40">
        <f>(($D$21*$G$13)+($G$10--G19))/-G19</f>
        <v>0.48923076923076925</v>
      </c>
      <c r="H32" s="14"/>
      <c r="I32" s="14"/>
    </row>
    <row r="33" spans="1:9" x14ac:dyDescent="0.2">
      <c r="B33" s="14"/>
      <c r="C33" s="14"/>
      <c r="D33" s="14"/>
      <c r="E33" s="14"/>
      <c r="F33" s="14"/>
      <c r="G33" s="14"/>
      <c r="H33" s="14"/>
      <c r="I33" s="14"/>
    </row>
    <row r="34" spans="1:9" x14ac:dyDescent="0.2">
      <c r="B34" s="14"/>
      <c r="C34" s="14"/>
      <c r="D34" s="14"/>
      <c r="E34" s="14"/>
      <c r="F34" s="14"/>
      <c r="G34" s="14"/>
      <c r="H34" s="14"/>
      <c r="I34" s="14"/>
    </row>
    <row r="35" spans="1:9" ht="15" customHeight="1" x14ac:dyDescent="0.2">
      <c r="B35" s="10"/>
      <c r="C35" s="10"/>
      <c r="D35" s="10"/>
      <c r="E35" s="41" t="s">
        <v>37</v>
      </c>
      <c r="F35" s="41"/>
      <c r="G35" s="41"/>
      <c r="H35" s="41"/>
      <c r="I35" s="41"/>
    </row>
    <row r="36" spans="1:9" x14ac:dyDescent="0.2">
      <c r="B36" s="9"/>
      <c r="C36" s="9"/>
      <c r="D36" s="9"/>
      <c r="E36" s="9"/>
      <c r="F36" s="9"/>
      <c r="G36" s="9"/>
      <c r="H36" s="9"/>
      <c r="I36" s="9"/>
    </row>
    <row r="37" spans="1:9" x14ac:dyDescent="0.2">
      <c r="A37" s="8"/>
      <c r="B37" s="11" t="s">
        <v>0</v>
      </c>
      <c r="D37" s="9"/>
      <c r="E37" s="9"/>
      <c r="F37" s="9"/>
      <c r="G37" s="9"/>
      <c r="H37" s="17" t="s">
        <v>1</v>
      </c>
      <c r="I37" s="17"/>
    </row>
  </sheetData>
  <mergeCells count="6">
    <mergeCell ref="B1:K2"/>
    <mergeCell ref="L1:O2"/>
    <mergeCell ref="H37:I37"/>
    <mergeCell ref="B5:I5"/>
    <mergeCell ref="E35:I35"/>
    <mergeCell ref="B6:I7"/>
  </mergeCells>
  <dataValidations count="8">
    <dataValidation type="list" allowBlank="1" showInputMessage="1" showErrorMessage="1" sqref="D10" xr:uid="{F31FF508-7D2B-41AF-ABCF-A8D03F971166}">
      <formula1>$J$9:$J$13</formula1>
    </dataValidation>
    <dataValidation type="list" allowBlank="1" showInputMessage="1" showErrorMessage="1" sqref="D11" xr:uid="{B175ECF0-5FD2-4AC4-878F-E804C4CA4813}">
      <formula1>$K$9:$K$12</formula1>
    </dataValidation>
    <dataValidation type="list" allowBlank="1" showInputMessage="1" showErrorMessage="1" sqref="D12" xr:uid="{260702FA-152C-4F55-8210-0CB04925F9B7}">
      <formula1>$L$9:$L$12</formula1>
    </dataValidation>
    <dataValidation type="list" allowBlank="1" showInputMessage="1" showErrorMessage="1" sqref="D13 D15" xr:uid="{48AB8452-C0B1-465A-9B66-0F27D105BBA5}">
      <formula1>$M$9:$M$13</formula1>
    </dataValidation>
    <dataValidation type="list" allowBlank="1" showInputMessage="1" showErrorMessage="1" sqref="G10" xr:uid="{F0FA14F6-DBF9-413E-82CD-CD5E48B737F7}">
      <formula1>$N$9:$N$11</formula1>
    </dataValidation>
    <dataValidation type="list" allowBlank="1" showInputMessage="1" showErrorMessage="1" sqref="G11" xr:uid="{89C8664D-982D-4D66-81E8-3952280B3E9B}">
      <formula1>$O$9:$O$12</formula1>
    </dataValidation>
    <dataValidation type="list" allowBlank="1" showInputMessage="1" showErrorMessage="1" sqref="G12" xr:uid="{94054CBE-E41B-4AB1-94F2-D6806A988939}">
      <formula1>$P$9:$P$12</formula1>
    </dataValidation>
    <dataValidation type="list" allowBlank="1" showInputMessage="1" showErrorMessage="1" sqref="G13 G15" xr:uid="{40F985CB-C7BF-41D1-B794-D82CA75EF23A}">
      <formula1>$Q$9:$Q$12</formula1>
    </dataValidation>
  </dataValidations>
  <hyperlinks>
    <hyperlink ref="B37" location="Home8" display="▲Top" xr:uid="{F145A96A-0E30-4904-96AC-2101C1A2EBB6}"/>
  </hyperlinks>
  <pageMargins left="0.7" right="0.7" top="0.75" bottom="0.75" header="0.3" footer="0.3"/>
  <pageSetup orientation="landscape" r:id="rId1"/>
  <colBreaks count="1" manualBreakCount="1">
    <brk id="11" max="1048575" man="1"/>
  </colBreaks>
  <ignoredErrors>
    <ignoredError sqref="E23: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Yields and Returns</vt:lpstr>
      <vt:lpstr>Home8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2020-08-08T17:46:54Z</dcterms:created>
  <dcterms:modified xsi:type="dcterms:W3CDTF">2020-11-10T03:38:41Z</dcterms:modified>
</cp:coreProperties>
</file>