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202FC590-C003-4F81-8B13-D3114E602E56}" xr6:coauthVersionLast="36" xr6:coauthVersionMax="45" xr10:uidLastSave="{00000000-0000-0000-0000-000000000000}"/>
  <bookViews>
    <workbookView xWindow="-105" yWindow="-105" windowWidth="23250" windowHeight="12570" xr2:uid="{B10066D9-5C04-4F93-B074-63910E60FEFA}"/>
  </bookViews>
  <sheets>
    <sheet name="FCFE" sheetId="4" r:id="rId1"/>
  </sheets>
  <definedNames>
    <definedName name="AFDSSDF">#REF!</definedName>
    <definedName name="Home11" localSheetId="0">FCFE!#REF!</definedName>
    <definedName name="Home11">#REF!</definedName>
    <definedName name="Home16" localSheetId="0">#REF!</definedName>
    <definedName name="Home16">#REF!</definedName>
    <definedName name="Home17" localSheetId="0">#REF!</definedName>
    <definedName name="Home17">#REF!</definedName>
    <definedName name="Home18" localSheetId="0">#REF!</definedName>
    <definedName name="Home18">#REF!</definedName>
    <definedName name="Home19" localSheetId="0">#REF!</definedName>
    <definedName name="Home19">#REF!</definedName>
    <definedName name="Home20" localSheetId="0">#REF!</definedName>
    <definedName name="Home20">#REF!</definedName>
    <definedName name="Home21" localSheetId="0">#REF!</definedName>
    <definedName name="Home21">#REF!</definedName>
    <definedName name="Home22" localSheetId="0">#REF!</definedName>
    <definedName name="Home22">#REF!</definedName>
    <definedName name="Home23" localSheetId="0">#REF!</definedName>
    <definedName name="Home23">#REF!</definedName>
    <definedName name="Home24" localSheetId="0">#REF!</definedName>
    <definedName name="Home24">#REF!</definedName>
    <definedName name="Home25" localSheetId="0">#REF!</definedName>
    <definedName name="Home25">#REF!</definedName>
    <definedName name="Home50">#REF!</definedName>
    <definedName name="Home7" localSheetId="0">#REF!</definedName>
    <definedName name="Home7">#REF!</definedName>
    <definedName name="Nex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D80" i="4" s="1"/>
  <c r="H11" i="4"/>
  <c r="B26" i="4"/>
  <c r="B27" i="4"/>
  <c r="B25" i="4"/>
  <c r="B21" i="4"/>
  <c r="B20" i="4"/>
  <c r="B19" i="4"/>
  <c r="H16" i="4"/>
  <c r="H15" i="4"/>
  <c r="H14" i="4"/>
  <c r="H13" i="4"/>
  <c r="H12" i="4"/>
  <c r="H40" i="4" l="1"/>
  <c r="H36" i="4"/>
  <c r="C57" i="4"/>
  <c r="H38" i="4" l="1"/>
  <c r="H37" i="4"/>
  <c r="H26" i="4"/>
  <c r="C20" i="4"/>
  <c r="C19" i="4"/>
  <c r="B45" i="4" l="1"/>
  <c r="C26" i="4"/>
  <c r="C27" i="4"/>
  <c r="H39" i="4" l="1"/>
  <c r="H41" i="4"/>
  <c r="H42" i="4" l="1"/>
  <c r="C48" i="4" s="1"/>
  <c r="D72" i="4" l="1"/>
  <c r="D74" i="4" s="1"/>
  <c r="C51" i="4"/>
  <c r="G72" i="4" s="1"/>
  <c r="C50" i="4"/>
  <c r="C49" i="4"/>
  <c r="F72" i="4" l="1"/>
  <c r="C61" i="4"/>
  <c r="C62" i="4" s="1"/>
  <c r="F73" i="4" s="1"/>
  <c r="F74" i="4" s="1"/>
  <c r="E72" i="4"/>
  <c r="E73" i="4" l="1"/>
  <c r="E74" i="4" s="1"/>
  <c r="G73" i="4"/>
  <c r="G74" i="4" s="1"/>
  <c r="G75" i="4" l="1"/>
  <c r="D82" i="4" l="1"/>
  <c r="D79" i="4"/>
</calcChain>
</file>

<file path=xl/sharedStrings.xml><?xml version="1.0" encoding="utf-8"?>
<sst xmlns="http://schemas.openxmlformats.org/spreadsheetml/2006/main" count="52" uniqueCount="44">
  <si>
    <t>▲Top</t>
  </si>
  <si>
    <t>© Joseph Farizo</t>
  </si>
  <si>
    <t>Depreciation</t>
  </si>
  <si>
    <t>Earnings before interest and taxes</t>
  </si>
  <si>
    <t>Capital Expenditures</t>
  </si>
  <si>
    <t>Increase in NWC</t>
  </si>
  <si>
    <t>Interest Expense</t>
  </si>
  <si>
    <t>Increase in Net Debt</t>
  </si>
  <si>
    <t>Corporate Tax Rate</t>
  </si>
  <si>
    <t>FCFE Calculation</t>
  </si>
  <si>
    <t>+</t>
  </si>
  <si>
    <t>-</t>
  </si>
  <si>
    <t>FCFE</t>
  </si>
  <si>
    <t>Free Cash Flow to Equity Holders</t>
  </si>
  <si>
    <t>Table A: Financials</t>
  </si>
  <si>
    <t>Table B: Market Data</t>
  </si>
  <si>
    <t>Table C: Assumptions</t>
  </si>
  <si>
    <t>Income Statement &amp; Balance Sheet Items</t>
  </si>
  <si>
    <t>Step 1: Determine the Free Cash Flows to Equity Holders (FCFE)</t>
  </si>
  <si>
    <t>Constant Growth Portion</t>
  </si>
  <si>
    <t>Sum =</t>
  </si>
  <si>
    <t>Step 4: Determine the Terminal Value or Constant Growth Portion.</t>
  </si>
  <si>
    <t>Step 3: Determine the required return on the equity.</t>
  </si>
  <si>
    <t>Free Cash Flow</t>
  </si>
  <si>
    <t xml:space="preserve">PV of FCFE </t>
  </si>
  <si>
    <t>"Modified" Beta*</t>
  </si>
  <si>
    <t>*This is a modification to the CAPM beta that considers a firm's capital structure.</t>
  </si>
  <si>
    <t>Step 2: Forecast the FCFE for each period.</t>
  </si>
  <si>
    <r>
      <t xml:space="preserve">Given the risk-free rate, the stock's modified beta, and the expected return on the market, the required return on equity </t>
    </r>
    <r>
      <rPr>
        <b/>
        <i/>
        <sz val="11"/>
        <rFont val="Arial"/>
        <family val="2"/>
      </rPr>
      <t>k</t>
    </r>
    <r>
      <rPr>
        <b/>
        <i/>
        <vertAlign val="subscript"/>
        <sz val="11"/>
        <rFont val="Arial"/>
        <family val="2"/>
      </rPr>
      <t>E</t>
    </r>
    <r>
      <rPr>
        <vertAlign val="subscript"/>
        <sz val="11"/>
        <rFont val="Arial"/>
        <family val="2"/>
      </rPr>
      <t xml:space="preserve"> </t>
    </r>
    <r>
      <rPr>
        <sz val="11"/>
        <rFont val="Arial"/>
        <family val="2"/>
      </rPr>
      <t>by the CAPM is:</t>
    </r>
  </si>
  <si>
    <r>
      <t>FCFE</t>
    </r>
    <r>
      <rPr>
        <b/>
        <vertAlign val="subscript"/>
        <sz val="11"/>
        <rFont val="Arial"/>
        <family val="2"/>
      </rPr>
      <t>T+1</t>
    </r>
  </si>
  <si>
    <r>
      <t>E</t>
    </r>
    <r>
      <rPr>
        <b/>
        <vertAlign val="subscript"/>
        <sz val="11"/>
        <rFont val="Arial"/>
        <family val="2"/>
      </rPr>
      <t>T</t>
    </r>
  </si>
  <si>
    <r>
      <t>FCFE</t>
    </r>
    <r>
      <rPr>
        <b/>
        <vertAlign val="subscript"/>
        <sz val="11"/>
        <rFont val="Arial"/>
        <family val="2"/>
      </rPr>
      <t>1</t>
    </r>
  </si>
  <si>
    <r>
      <t>FCFE</t>
    </r>
    <r>
      <rPr>
        <b/>
        <vertAlign val="subscript"/>
        <sz val="11"/>
        <rFont val="Arial"/>
        <family val="2"/>
      </rPr>
      <t>2</t>
    </r>
  </si>
  <si>
    <r>
      <t>FCFE</t>
    </r>
    <r>
      <rPr>
        <b/>
        <vertAlign val="subscript"/>
        <sz val="11"/>
        <rFont val="Arial"/>
        <family val="2"/>
      </rPr>
      <t>3</t>
    </r>
  </si>
  <si>
    <r>
      <t>FCFE</t>
    </r>
    <r>
      <rPr>
        <b/>
        <vertAlign val="subscript"/>
        <sz val="11"/>
        <rFont val="Arial"/>
        <family val="2"/>
      </rPr>
      <t>4</t>
    </r>
  </si>
  <si>
    <t>EBIT x (1-t)</t>
  </si>
  <si>
    <t>Interest Expense x (1-t)</t>
  </si>
  <si>
    <t>Shares Outstanding</t>
  </si>
  <si>
    <r>
      <t>V</t>
    </r>
    <r>
      <rPr>
        <b/>
        <i/>
        <vertAlign val="subscript"/>
        <sz val="11"/>
        <rFont val="Arial"/>
        <family val="2"/>
      </rPr>
      <t>Equity</t>
    </r>
  </si>
  <si>
    <t>Intrinsic Value Per Share</t>
  </si>
  <si>
    <t>Current Firm Figures</t>
  </si>
  <si>
    <r>
      <t xml:space="preserve">Estimate the intrinsic value of a share of Industrious Enterprises Inc. You first forecast the income statement and balance sheet items in </t>
    </r>
    <r>
      <rPr>
        <b/>
        <sz val="11"/>
        <rFont val="Arial"/>
        <family val="2"/>
      </rPr>
      <t>Table A</t>
    </r>
    <r>
      <rPr>
        <sz val="11"/>
        <rFont val="Arial"/>
        <family val="2"/>
      </rPr>
      <t xml:space="preserve"> below. Additionally, you rely on the market data in</t>
    </r>
    <r>
      <rPr>
        <b/>
        <sz val="11"/>
        <rFont val="Arial"/>
        <family val="2"/>
      </rPr>
      <t xml:space="preserve"> Table B</t>
    </r>
    <r>
      <rPr>
        <sz val="11"/>
        <rFont val="Arial"/>
        <family val="2"/>
      </rPr>
      <t xml:space="preserve">, and finally the assumptions in </t>
    </r>
    <r>
      <rPr>
        <b/>
        <sz val="11"/>
        <rFont val="Arial"/>
        <family val="2"/>
      </rPr>
      <t>Table C</t>
    </r>
    <r>
      <rPr>
        <sz val="11"/>
        <rFont val="Arial"/>
        <family val="2"/>
      </rPr>
      <t>.</t>
    </r>
  </si>
  <si>
    <t>Step 5: Discount the cash flows to the present, then sum to find the value of the equity.</t>
  </si>
  <si>
    <t>Step 6: Determine the intrinsic value of the shares by dividing by the number of shares.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</si>
</sst>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20"/>
      <color theme="0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  <font>
      <sz val="11"/>
      <color rgb="FFEFE0D9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name val="Arial"/>
      <family val="2"/>
    </font>
    <font>
      <b/>
      <i/>
      <sz val="11"/>
      <name val="Arial"/>
      <family val="2"/>
    </font>
    <font>
      <b/>
      <i/>
      <vertAlign val="sub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122">
    <xf numFmtId="0" fontId="0" fillId="0" borderId="0" xfId="0"/>
    <xf numFmtId="0" fontId="7" fillId="4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3" borderId="0" xfId="3" applyFont="1" applyAlignment="1">
      <alignment horizontal="right"/>
    </xf>
    <xf numFmtId="0" fontId="8" fillId="3" borderId="0" xfId="2" applyFont="1" applyFill="1" applyAlignment="1">
      <alignment horizontal="center"/>
    </xf>
    <xf numFmtId="0" fontId="7" fillId="6" borderId="0" xfId="0" applyFont="1" applyFill="1" applyAlignment="1"/>
    <xf numFmtId="0" fontId="7" fillId="4" borderId="0" xfId="0" applyFont="1" applyFill="1" applyBorder="1" applyAlignment="1">
      <alignment wrapText="1"/>
    </xf>
    <xf numFmtId="0" fontId="4" fillId="3" borderId="0" xfId="2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7" fillId="3" borderId="0" xfId="0" applyFont="1" applyFill="1" applyAlignment="1"/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/>
    </xf>
    <xf numFmtId="0" fontId="7" fillId="4" borderId="0" xfId="0" applyFont="1" applyFill="1" applyAlignment="1"/>
    <xf numFmtId="0" fontId="7" fillId="4" borderId="0" xfId="0" applyFont="1" applyFill="1" applyBorder="1" applyAlignment="1"/>
    <xf numFmtId="0" fontId="9" fillId="4" borderId="0" xfId="0" applyFont="1" applyFill="1" applyAlignment="1"/>
    <xf numFmtId="0" fontId="7" fillId="4" borderId="0" xfId="0" applyFont="1" applyFill="1" applyBorder="1" applyAlignment="1">
      <alignment horizontal="left" vertical="top" wrapText="1"/>
    </xf>
    <xf numFmtId="3" fontId="7" fillId="4" borderId="0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lef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top"/>
    </xf>
    <xf numFmtId="3" fontId="7" fillId="4" borderId="2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0" fontId="7" fillId="4" borderId="2" xfId="0" applyFont="1" applyFill="1" applyBorder="1"/>
    <xf numFmtId="3" fontId="12" fillId="4" borderId="0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/>
    <xf numFmtId="0" fontId="7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vertical="top"/>
    </xf>
    <xf numFmtId="3" fontId="7" fillId="4" borderId="11" xfId="0" applyNumberFormat="1" applyFont="1" applyFill="1" applyBorder="1" applyAlignment="1">
      <alignment horizontal="right" vertical="top"/>
    </xf>
    <xf numFmtId="0" fontId="7" fillId="4" borderId="10" xfId="0" applyFont="1" applyFill="1" applyBorder="1" applyAlignment="1"/>
    <xf numFmtId="3" fontId="7" fillId="4" borderId="11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left" vertical="top"/>
    </xf>
    <xf numFmtId="3" fontId="7" fillId="4" borderId="13" xfId="0" applyNumberFormat="1" applyFont="1" applyFill="1" applyBorder="1" applyAlignment="1">
      <alignment horizontal="right" vertical="top"/>
    </xf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1" xfId="0" applyFont="1" applyFill="1" applyBorder="1" applyAlignment="1"/>
    <xf numFmtId="0" fontId="7" fillId="4" borderId="17" xfId="0" applyFont="1" applyFill="1" applyBorder="1" applyAlignment="1"/>
    <xf numFmtId="9" fontId="7" fillId="4" borderId="14" xfId="1" applyFont="1" applyFill="1" applyBorder="1" applyAlignment="1">
      <alignment horizontal="center" vertical="top"/>
    </xf>
    <xf numFmtId="9" fontId="7" fillId="4" borderId="15" xfId="1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9" fontId="7" fillId="4" borderId="23" xfId="1" applyFont="1" applyFill="1" applyBorder="1" applyAlignment="1">
      <alignment horizontal="center" vertical="top"/>
    </xf>
    <xf numFmtId="0" fontId="13" fillId="4" borderId="11" xfId="0" applyFont="1" applyFill="1" applyBorder="1" applyAlignment="1"/>
    <xf numFmtId="3" fontId="7" fillId="4" borderId="0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horizontal="center"/>
    </xf>
    <xf numFmtId="44" fontId="7" fillId="4" borderId="27" xfId="0" applyNumberFormat="1" applyFont="1" applyFill="1" applyBorder="1" applyAlignment="1">
      <alignment horizontal="right"/>
    </xf>
    <xf numFmtId="44" fontId="7" fillId="4" borderId="29" xfId="0" applyNumberFormat="1" applyFont="1" applyFill="1" applyBorder="1" applyAlignment="1">
      <alignment horizontal="right"/>
    </xf>
    <xf numFmtId="44" fontId="9" fillId="4" borderId="6" xfId="0" applyNumberFormat="1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44" fontId="9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left" wrapText="1"/>
    </xf>
    <xf numFmtId="164" fontId="7" fillId="4" borderId="6" xfId="1" applyNumberFormat="1" applyFont="1" applyFill="1" applyBorder="1" applyAlignment="1">
      <alignment horizontal="center" wrapText="1"/>
    </xf>
    <xf numFmtId="9" fontId="7" fillId="4" borderId="14" xfId="1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44" fontId="7" fillId="4" borderId="18" xfId="0" applyNumberFormat="1" applyFont="1" applyFill="1" applyBorder="1" applyAlignment="1">
      <alignment horizontal="right"/>
    </xf>
    <xf numFmtId="44" fontId="7" fillId="4" borderId="28" xfId="0" applyNumberFormat="1" applyFont="1" applyFill="1" applyBorder="1" applyAlignment="1">
      <alignment horizontal="right"/>
    </xf>
    <xf numFmtId="0" fontId="14" fillId="3" borderId="12" xfId="4" applyFont="1" applyFill="1" applyBorder="1" applyAlignment="1"/>
    <xf numFmtId="0" fontId="14" fillId="3" borderId="2" xfId="4" applyFont="1" applyFill="1" applyBorder="1" applyAlignment="1"/>
    <xf numFmtId="0" fontId="14" fillId="3" borderId="2" xfId="4" applyFont="1" applyFill="1" applyBorder="1" applyAlignment="1">
      <alignment horizontal="right"/>
    </xf>
    <xf numFmtId="0" fontId="14" fillId="3" borderId="13" xfId="4" applyFont="1" applyFill="1" applyBorder="1" applyAlignment="1">
      <alignment horizontal="right"/>
    </xf>
    <xf numFmtId="0" fontId="9" fillId="4" borderId="1" xfId="4" applyFont="1" applyFill="1" applyBorder="1" applyAlignment="1"/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/>
    <xf numFmtId="3" fontId="12" fillId="4" borderId="1" xfId="0" applyNumberFormat="1" applyFont="1" applyFill="1" applyBorder="1" applyAlignment="1">
      <alignment horizontal="center" vertical="top"/>
    </xf>
    <xf numFmtId="3" fontId="9" fillId="4" borderId="3" xfId="0" applyNumberFormat="1" applyFont="1" applyFill="1" applyBorder="1" applyAlignment="1">
      <alignment horizontal="right" vertical="top"/>
    </xf>
    <xf numFmtId="0" fontId="9" fillId="5" borderId="1" xfId="0" applyFont="1" applyFill="1" applyBorder="1" applyAlignment="1"/>
    <xf numFmtId="0" fontId="7" fillId="5" borderId="1" xfId="0" applyFont="1" applyFill="1" applyBorder="1"/>
    <xf numFmtId="0" fontId="7" fillId="5" borderId="1" xfId="0" applyFont="1" applyFill="1" applyBorder="1" applyAlignment="1"/>
    <xf numFmtId="0" fontId="9" fillId="4" borderId="25" xfId="0" applyFont="1" applyFill="1" applyBorder="1" applyAlignment="1"/>
    <xf numFmtId="9" fontId="7" fillId="4" borderId="23" xfId="1" applyNumberFormat="1" applyFont="1" applyFill="1" applyBorder="1" applyAlignment="1">
      <alignment horizontal="center"/>
    </xf>
    <xf numFmtId="44" fontId="7" fillId="4" borderId="0" xfId="0" applyNumberFormat="1" applyFont="1" applyFill="1" applyAlignment="1"/>
    <xf numFmtId="3" fontId="7" fillId="4" borderId="15" xfId="0" applyNumberFormat="1" applyFont="1" applyFill="1" applyBorder="1" applyAlignment="1">
      <alignment horizontal="center"/>
    </xf>
    <xf numFmtId="44" fontId="7" fillId="4" borderId="6" xfId="0" applyNumberFormat="1" applyFont="1" applyFill="1" applyBorder="1" applyAlignment="1">
      <alignment horizontal="center"/>
    </xf>
    <xf numFmtId="3" fontId="7" fillId="4" borderId="6" xfId="0" applyNumberFormat="1" applyFont="1" applyFill="1" applyBorder="1" applyAlignment="1">
      <alignment horizontal="right"/>
    </xf>
    <xf numFmtId="44" fontId="7" fillId="4" borderId="7" xfId="0" applyNumberFormat="1" applyFont="1" applyFill="1" applyBorder="1" applyAlignment="1"/>
    <xf numFmtId="0" fontId="16" fillId="4" borderId="20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right"/>
    </xf>
    <xf numFmtId="0" fontId="7" fillId="4" borderId="26" xfId="0" applyFont="1" applyFill="1" applyBorder="1" applyAlignment="1">
      <alignment horizontal="right"/>
    </xf>
    <xf numFmtId="0" fontId="7" fillId="4" borderId="28" xfId="0" applyFont="1" applyFill="1" applyBorder="1" applyAlignment="1">
      <alignment horizontal="right"/>
    </xf>
    <xf numFmtId="0" fontId="7" fillId="4" borderId="25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left"/>
    </xf>
    <xf numFmtId="0" fontId="16" fillId="4" borderId="2" xfId="0" applyFont="1" applyFill="1" applyBorder="1" applyAlignment="1">
      <alignment horizontal="right"/>
    </xf>
    <xf numFmtId="0" fontId="16" fillId="4" borderId="25" xfId="0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0" xfId="0" applyFont="1" applyFill="1" applyAlignment="1">
      <alignment horizontal="left" wrapText="1"/>
    </xf>
    <xf numFmtId="0" fontId="14" fillId="2" borderId="20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colors>
    <mruColors>
      <color rgb="FFEFE0D9"/>
      <color rgb="FF0000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55453</xdr:colOff>
      <xdr:row>29</xdr:row>
      <xdr:rowOff>92622</xdr:rowOff>
    </xdr:from>
    <xdr:ext cx="6308561" cy="7316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B6DE485-A975-4C84-906B-7C295C92A71A}"/>
                </a:ext>
              </a:extLst>
            </xdr:cNvPr>
            <xdr:cNvSpPr txBox="1"/>
          </xdr:nvSpPr>
          <xdr:spPr>
            <a:xfrm>
              <a:off x="228874" y="5253201"/>
              <a:ext cx="6308561" cy="731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𝐹𝐶𝐹𝐸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𝐸𝐵𝐼𝑇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𝐷𝑒𝑝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.−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𝐶𝐴𝑃𝑋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𝐼𝑛𝑐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.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𝑖𝑛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𝑁𝑊𝐶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𝐼𝑛𝑡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𝐸𝑥𝑝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𝐼𝑛𝑐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.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𝑖𝑛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𝑁𝑒𝑡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𝐷𝑒𝑏𝑡</m:t>
                    </m:r>
                  </m:oMath>
                </m:oMathPara>
              </a14:m>
              <a:endParaRPr lang="en-US" sz="16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B6DE485-A975-4C84-906B-7C295C92A71A}"/>
                </a:ext>
              </a:extLst>
            </xdr:cNvPr>
            <xdr:cNvSpPr txBox="1"/>
          </xdr:nvSpPr>
          <xdr:spPr>
            <a:xfrm>
              <a:off x="228874" y="5253201"/>
              <a:ext cx="6308561" cy="7316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𝐹𝐶𝐹𝐸=𝐸𝐵𝐼𝑇(1−𝑡)+𝐷𝑒𝑝.−𝐶𝐴𝑃𝑋−𝐼𝑛𝑐. 𝑖𝑛 𝑁𝑊𝐶−𝐼𝑛𝑡.𝐸𝑥𝑝 (1−𝑡)+𝐼𝑛𝑐. 𝑖𝑛 𝑁𝑒𝑡 𝐷𝑒𝑏𝑡</a:t>
              </a:r>
              <a:endParaRPr lang="en-US" sz="1600" b="0"/>
            </a:p>
          </xdr:txBody>
        </xdr:sp>
      </mc:Fallback>
    </mc:AlternateContent>
    <xdr:clientData/>
  </xdr:oneCellAnchor>
  <xdr:oneCellAnchor>
    <xdr:from>
      <xdr:col>3</xdr:col>
      <xdr:colOff>407275</xdr:colOff>
      <xdr:row>48</xdr:row>
      <xdr:rowOff>111015</xdr:rowOff>
    </xdr:from>
    <xdr:ext cx="4477251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29CAD00-AFCC-49B0-BD31-0279301AD6BC}"/>
                </a:ext>
              </a:extLst>
            </xdr:cNvPr>
            <xdr:cNvSpPr txBox="1"/>
          </xdr:nvSpPr>
          <xdr:spPr>
            <a:xfrm>
              <a:off x="2546130" y="8629649"/>
              <a:ext cx="4477251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800" b="0" i="1">
                      <a:latin typeface="Cambria Math" panose="02040503050406030204" pitchFamily="18" charset="0"/>
                    </a:rPr>
                    <m:t>𝐹𝐶𝐹</m:t>
                  </m:r>
                  <m:sSub>
                    <m:sSubPr>
                      <m:ctrlPr>
                        <a:rPr lang="en-US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800" b="0" i="1"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800" b="0" i="1">
                          <a:latin typeface="Cambria Math" panose="02040503050406030204" pitchFamily="18" charset="0"/>
                        </a:rPr>
                        <m:t>𝑡</m:t>
                      </m:r>
                    </m:sub>
                  </m:sSub>
                  <m:r>
                    <a:rPr lang="en-US" sz="18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𝐹𝐶𝐹</m:t>
                  </m:r>
                  <m:sSub>
                    <m:sSubPr>
                      <m:ctrlPr>
                        <a:rPr lang="en-US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800" b="0" i="1">
                          <a:latin typeface="Cambria Math" panose="02040503050406030204" pitchFamily="18" charset="0"/>
                        </a:rPr>
                        <m:t>𝐸</m:t>
                      </m:r>
                    </m:e>
                    <m:sub>
                      <m:r>
                        <a:rPr lang="en-US" sz="1800" b="0" i="1">
                          <a:latin typeface="Cambria Math" panose="02040503050406030204" pitchFamily="18" charset="0"/>
                        </a:rPr>
                        <m:t>𝑡</m:t>
                      </m:r>
                      <m:r>
                        <a:rPr lang="en-US" sz="1800" b="0" i="1">
                          <a:latin typeface="Cambria Math" panose="02040503050406030204" pitchFamily="18" charset="0"/>
                        </a:rPr>
                        <m:t>−1</m:t>
                      </m:r>
                    </m:sub>
                  </m:sSub>
                  <m:r>
                    <a:rPr lang="en-US" sz="1800" b="0" i="1">
                      <a:latin typeface="Cambria Math" panose="02040503050406030204" pitchFamily="18" charset="0"/>
                    </a:rPr>
                    <m:t>(1+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𝑆h𝑜𝑟𝑡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𝑇𝑒𝑟𝑚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𝐺𝑟𝑜𝑤𝑡h</m:t>
                  </m:r>
                  <m:r>
                    <a:rPr lang="en-US" sz="1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US" sz="1800"/>
                <a:t> </a:t>
              </a: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29CAD00-AFCC-49B0-BD31-0279301AD6BC}"/>
                </a:ext>
              </a:extLst>
            </xdr:cNvPr>
            <xdr:cNvSpPr txBox="1"/>
          </xdr:nvSpPr>
          <xdr:spPr>
            <a:xfrm>
              <a:off x="2546130" y="8629649"/>
              <a:ext cx="4477251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𝐹𝐶𝐹𝐸_𝑡=𝐹𝐶𝐹𝐸_(𝑡−1) (1+𝑆ℎ𝑜𝑟𝑡 𝑇𝑒𝑟𝑚 𝐺𝑟𝑜𝑤𝑡ℎ)</a:t>
              </a:r>
              <a:r>
                <a:rPr lang="en-US" sz="1800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324793</xdr:colOff>
      <xdr:row>59</xdr:row>
      <xdr:rowOff>67603</xdr:rowOff>
    </xdr:from>
    <xdr:ext cx="1504194" cy="5690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C9867E2-86EE-4095-A4E9-85F581A4C761}"/>
                </a:ext>
              </a:extLst>
            </xdr:cNvPr>
            <xdr:cNvSpPr txBox="1"/>
          </xdr:nvSpPr>
          <xdr:spPr>
            <a:xfrm>
              <a:off x="2412010" y="11008929"/>
              <a:ext cx="1504194" cy="569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𝐹𝐶𝐹</m:t>
                        </m:r>
                        <m:sSub>
                          <m:sSubPr>
                            <m:ctrlP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  <m:r>
                              <a:rPr lang="en-US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sub>
                        </m:s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3C9867E2-86EE-4095-A4E9-85F581A4C761}"/>
                </a:ext>
              </a:extLst>
            </xdr:cNvPr>
            <xdr:cNvSpPr txBox="1"/>
          </xdr:nvSpPr>
          <xdr:spPr>
            <a:xfrm>
              <a:off x="2412010" y="11008929"/>
              <a:ext cx="1504194" cy="5690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𝐸_𝑇=(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𝐹𝐶𝐹𝐸_(𝑇+1)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800" b="0" i="0">
                  <a:latin typeface="Cambria Math" panose="02040503050406030204" pitchFamily="18" charset="0"/>
                </a:rPr>
                <a:t>𝑘_𝐸−𝑔)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3</xdr:col>
      <xdr:colOff>363921</xdr:colOff>
      <xdr:row>55</xdr:row>
      <xdr:rowOff>55893</xdr:rowOff>
    </xdr:from>
    <xdr:ext cx="2650534" cy="2996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2FD1274-33E2-42BD-9106-58749D9D34F5}"/>
                </a:ext>
              </a:extLst>
            </xdr:cNvPr>
            <xdr:cNvSpPr txBox="1"/>
          </xdr:nvSpPr>
          <xdr:spPr>
            <a:xfrm>
              <a:off x="2451138" y="10268350"/>
              <a:ext cx="2650534" cy="299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𝐸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𝛽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𝐸</m:t>
                        </m:r>
                        <m:sSub>
                          <m:sSubPr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sub>
                        </m:sSub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𝐹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F2FD1274-33E2-42BD-9106-58749D9D34F5}"/>
                </a:ext>
              </a:extLst>
            </xdr:cNvPr>
            <xdr:cNvSpPr txBox="1"/>
          </xdr:nvSpPr>
          <xdr:spPr>
            <a:xfrm>
              <a:off x="2451138" y="10268350"/>
              <a:ext cx="2650534" cy="299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𝑘_𝐸=𝑅_𝑓+𝛽(𝐸〖(𝑅〗_𝑀 )−𝑅_𝐹)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1</xdr:col>
      <xdr:colOff>622624</xdr:colOff>
      <xdr:row>64</xdr:row>
      <xdr:rowOff>153374</xdr:rowOff>
    </xdr:from>
    <xdr:ext cx="5098946" cy="517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6ADA9C8-10BD-4178-895C-030DE2496BB3}"/>
                </a:ext>
              </a:extLst>
            </xdr:cNvPr>
            <xdr:cNvSpPr txBox="1"/>
          </xdr:nvSpPr>
          <xdr:spPr>
            <a:xfrm>
              <a:off x="793417" y="12259977"/>
              <a:ext cx="5098946" cy="517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𝑉𝑎𝑙𝑢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𝑒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𝐹𝐶𝐹</m:t>
                        </m:r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𝐹𝐶𝐹</m:t>
                        </m:r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𝐹𝐶𝐹</m:t>
                        </m:r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6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sSub>
                                  <m:sSubPr>
                                    <m:ctrlP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US" sz="1600" b="0" i="1">
                                        <a:latin typeface="Cambria Math" panose="02040503050406030204" pitchFamily="18" charset="0"/>
                                      </a:rPr>
                                      <m:t>𝐸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46ADA9C8-10BD-4178-895C-030DE2496BB3}"/>
                </a:ext>
              </a:extLst>
            </xdr:cNvPr>
            <xdr:cNvSpPr txBox="1"/>
          </xdr:nvSpPr>
          <xdr:spPr>
            <a:xfrm>
              <a:off x="793417" y="12259977"/>
              <a:ext cx="5098946" cy="517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𝑉𝑎𝑙𝑢𝑒_0=(𝐹𝐶𝐹𝐸_1)/(1+𝑘)+(𝐹𝐶𝐹𝐸_2)/(1+𝑘)^2 +…+(𝐹𝐶𝐹𝐸_𝑇+𝐸_𝑇)/(1+𝑘_𝐸 )^𝑇 </a:t>
              </a:r>
              <a:endParaRPr lang="en-US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9FC0-5898-47D4-95BB-223EB70F2400}">
  <sheetPr>
    <pageSetUpPr autoPageBreaks="0" fitToPage="1"/>
  </sheetPr>
  <dimension ref="A1:O86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12.7109375" style="13" customWidth="1"/>
    <col min="3" max="7" width="16" style="1" customWidth="1"/>
    <col min="8" max="8" width="10.42578125" style="1" bestFit="1" customWidth="1"/>
    <col min="9" max="9" width="10.42578125" style="13" bestFit="1" customWidth="1"/>
    <col min="10" max="10" width="10.42578125" style="1" bestFit="1" customWidth="1"/>
    <col min="11" max="11" width="13.28515625" style="1" bestFit="1" customWidth="1"/>
    <col min="12" max="12" width="16" style="1" bestFit="1" customWidth="1"/>
    <col min="13" max="16384" width="8.85546875" style="1"/>
  </cols>
  <sheetData>
    <row r="1" spans="2:15" s="2" customFormat="1" ht="13.9" customHeight="1" x14ac:dyDescent="0.2">
      <c r="B1" s="103" t="s">
        <v>13</v>
      </c>
      <c r="C1" s="103"/>
      <c r="D1" s="103"/>
      <c r="E1" s="103"/>
      <c r="F1" s="103"/>
      <c r="G1" s="103"/>
      <c r="H1" s="103"/>
      <c r="I1" s="103"/>
      <c r="J1" s="103"/>
      <c r="K1" s="104"/>
      <c r="L1" s="104"/>
      <c r="M1" s="104"/>
      <c r="N1" s="104"/>
    </row>
    <row r="2" spans="2:15" s="2" customFormat="1" ht="13.9" customHeight="1" x14ac:dyDescent="0.2"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4"/>
      <c r="M2" s="104"/>
      <c r="N2" s="104"/>
    </row>
    <row r="3" spans="2:15" s="3" customFormat="1" x14ac:dyDescent="0.2">
      <c r="B3" s="10"/>
      <c r="H3" s="4"/>
      <c r="I3" s="8"/>
      <c r="K3" s="5"/>
    </row>
    <row r="5" spans="2:15" ht="14.25" customHeight="1" x14ac:dyDescent="0.2">
      <c r="B5" s="116" t="s">
        <v>41</v>
      </c>
      <c r="C5" s="116"/>
      <c r="D5" s="116"/>
      <c r="E5" s="116"/>
      <c r="F5" s="116"/>
      <c r="G5" s="116"/>
      <c r="H5" s="116"/>
      <c r="I5" s="65"/>
    </row>
    <row r="6" spans="2:15" x14ac:dyDescent="0.2">
      <c r="B6" s="116"/>
      <c r="C6" s="116"/>
      <c r="D6" s="116"/>
      <c r="E6" s="116"/>
      <c r="F6" s="116"/>
      <c r="G6" s="116"/>
      <c r="H6" s="116"/>
      <c r="I6" s="65"/>
    </row>
    <row r="7" spans="2:15" x14ac:dyDescent="0.2">
      <c r="B7" s="116"/>
      <c r="C7" s="116"/>
      <c r="D7" s="116"/>
      <c r="E7" s="116"/>
      <c r="F7" s="116"/>
      <c r="G7" s="116"/>
      <c r="H7" s="116"/>
      <c r="I7" s="65"/>
    </row>
    <row r="8" spans="2:15" ht="15" thickBot="1" x14ac:dyDescent="0.25">
      <c r="C8" s="13"/>
      <c r="D8" s="13"/>
      <c r="E8" s="13"/>
      <c r="F8" s="13"/>
      <c r="G8" s="13"/>
      <c r="H8" s="13"/>
    </row>
    <row r="9" spans="2:15" ht="15.75" thickBot="1" x14ac:dyDescent="0.25">
      <c r="B9" s="117" t="s">
        <v>14</v>
      </c>
      <c r="C9" s="118"/>
      <c r="D9" s="118"/>
      <c r="E9" s="118"/>
      <c r="F9" s="118"/>
      <c r="G9" s="118"/>
      <c r="H9" s="119"/>
      <c r="K9" s="7"/>
      <c r="L9" s="7"/>
    </row>
    <row r="10" spans="2:15" ht="15" x14ac:dyDescent="0.25">
      <c r="B10" s="69" t="s">
        <v>17</v>
      </c>
      <c r="C10" s="70"/>
      <c r="D10" s="70"/>
      <c r="E10" s="70"/>
      <c r="F10" s="70"/>
      <c r="G10" s="71"/>
      <c r="H10" s="72" t="s">
        <v>40</v>
      </c>
      <c r="I10" s="1"/>
      <c r="K10" s="7"/>
      <c r="L10" s="7"/>
    </row>
    <row r="11" spans="2:15" x14ac:dyDescent="0.2">
      <c r="B11" s="35" t="s">
        <v>3</v>
      </c>
      <c r="C11" s="11"/>
      <c r="D11" s="11"/>
      <c r="E11" s="11"/>
      <c r="F11" s="32"/>
      <c r="G11" s="32"/>
      <c r="H11" s="36">
        <f ca="1">RANDBETWEEN(980,1000)</f>
        <v>989</v>
      </c>
      <c r="I11" s="1"/>
      <c r="J11" s="7"/>
      <c r="K11" s="7"/>
      <c r="L11" s="7"/>
      <c r="M11" s="7"/>
      <c r="N11" s="7"/>
      <c r="O11" s="7"/>
    </row>
    <row r="12" spans="2:15" ht="15" customHeight="1" x14ac:dyDescent="0.2">
      <c r="B12" s="37" t="s">
        <v>2</v>
      </c>
      <c r="C12" s="32"/>
      <c r="D12" s="32"/>
      <c r="E12" s="32"/>
      <c r="F12" s="32"/>
      <c r="G12" s="32"/>
      <c r="H12" s="38">
        <f ca="1">RANDBETWEEN(100,120)</f>
        <v>114</v>
      </c>
      <c r="I12" s="1"/>
      <c r="J12" s="7"/>
      <c r="K12" s="22"/>
      <c r="L12" s="22"/>
      <c r="M12" s="7"/>
      <c r="N12" s="7"/>
      <c r="O12" s="7"/>
    </row>
    <row r="13" spans="2:15" s="20" customFormat="1" ht="14.25" customHeight="1" x14ac:dyDescent="0.2">
      <c r="B13" s="35" t="s">
        <v>4</v>
      </c>
      <c r="C13" s="11"/>
      <c r="D13" s="11"/>
      <c r="E13" s="11"/>
      <c r="F13" s="32"/>
      <c r="G13" s="39"/>
      <c r="H13" s="38">
        <f ca="1">RANDBETWEEN(29,310)</f>
        <v>41</v>
      </c>
      <c r="J13" s="7"/>
      <c r="K13" s="21"/>
      <c r="L13" s="21"/>
      <c r="M13" s="21"/>
      <c r="N13" s="21"/>
      <c r="O13" s="21"/>
    </row>
    <row r="14" spans="2:15" x14ac:dyDescent="0.2">
      <c r="B14" s="35" t="s">
        <v>6</v>
      </c>
      <c r="C14" s="11"/>
      <c r="D14" s="11"/>
      <c r="E14" s="11"/>
      <c r="F14" s="32"/>
      <c r="G14" s="32"/>
      <c r="H14" s="36">
        <f ca="1">RANDBETWEEN(90,110)</f>
        <v>95</v>
      </c>
      <c r="I14" s="1"/>
      <c r="J14" s="7"/>
      <c r="K14" s="11"/>
      <c r="L14" s="11"/>
      <c r="M14" s="7"/>
      <c r="N14" s="7"/>
      <c r="O14" s="7"/>
    </row>
    <row r="15" spans="2:15" ht="15" customHeight="1" x14ac:dyDescent="0.2">
      <c r="B15" s="40" t="s">
        <v>5</v>
      </c>
      <c r="C15" s="16"/>
      <c r="D15" s="16"/>
      <c r="E15" s="16"/>
      <c r="F15" s="32"/>
      <c r="G15" s="32"/>
      <c r="H15" s="36">
        <f ca="1">RANDBETWEEN(45,55)</f>
        <v>50</v>
      </c>
      <c r="I15" s="1"/>
      <c r="J15" s="7"/>
      <c r="K15" s="9"/>
      <c r="L15" s="9"/>
      <c r="M15" s="7"/>
      <c r="N15" s="7"/>
      <c r="O15" s="7"/>
    </row>
    <row r="16" spans="2:15" x14ac:dyDescent="0.2">
      <c r="B16" s="41" t="s">
        <v>7</v>
      </c>
      <c r="C16" s="30"/>
      <c r="D16" s="30"/>
      <c r="E16" s="30"/>
      <c r="F16" s="28"/>
      <c r="G16" s="28"/>
      <c r="H16" s="42">
        <f ca="1">RANDBETWEEN(91,111)</f>
        <v>92</v>
      </c>
      <c r="I16" s="1"/>
      <c r="J16" s="7"/>
      <c r="K16" s="7"/>
      <c r="L16" s="7"/>
      <c r="M16" s="7"/>
      <c r="N16" s="7"/>
      <c r="O16" s="7"/>
    </row>
    <row r="17" spans="2:15" ht="15" thickBot="1" x14ac:dyDescent="0.25">
      <c r="B17" s="43"/>
      <c r="C17" s="32"/>
      <c r="D17" s="32"/>
      <c r="E17" s="32"/>
      <c r="F17" s="32"/>
      <c r="G17" s="32"/>
      <c r="H17" s="44"/>
      <c r="I17" s="1"/>
      <c r="J17" s="7"/>
      <c r="K17" s="7"/>
      <c r="L17" s="7"/>
      <c r="M17" s="7"/>
      <c r="N17" s="7"/>
      <c r="O17" s="7"/>
    </row>
    <row r="18" spans="2:15" ht="15.75" thickBot="1" x14ac:dyDescent="0.25">
      <c r="B18" s="117" t="s">
        <v>15</v>
      </c>
      <c r="C18" s="118"/>
      <c r="D18" s="118"/>
      <c r="E18" s="118"/>
      <c r="F18" s="118"/>
      <c r="G18" s="118"/>
      <c r="H18" s="119"/>
      <c r="J18" s="7"/>
      <c r="K18" s="7"/>
      <c r="L18" s="7"/>
      <c r="M18" s="7"/>
      <c r="N18" s="7"/>
      <c r="O18" s="7"/>
    </row>
    <row r="19" spans="2:15" x14ac:dyDescent="0.2">
      <c r="B19" s="82">
        <f ca="1">RANDBETWEEN(9,11)/100</f>
        <v>0.11</v>
      </c>
      <c r="C19" s="108" t="str">
        <f ca="1">CHOOSE(RANDBETWEEN(1,5),"S&amp;P 500's Expected Return","Wilshire 5000's Expected Return","Russell 3000 Expected Return","CRSP Total Market Index Expected Return","Vanguard Total Market Index Expected Return")</f>
        <v>CRSP Total Market Index Expected Return</v>
      </c>
      <c r="D19" s="109"/>
      <c r="E19" s="109"/>
      <c r="F19" s="109"/>
      <c r="G19" s="109"/>
      <c r="H19" s="110"/>
      <c r="J19" s="7"/>
      <c r="K19" s="7"/>
      <c r="L19" s="7"/>
      <c r="M19" s="7"/>
      <c r="N19" s="7"/>
      <c r="O19" s="7"/>
    </row>
    <row r="20" spans="2:15" x14ac:dyDescent="0.2">
      <c r="B20" s="63">
        <f ca="1">RANDBETWEEN(2,4)/100</f>
        <v>0.04</v>
      </c>
      <c r="C20" s="106" t="str">
        <f ca="1">CHOOSE(RANDBETWEEN(1,2),"90-day T-bills","Risk-free rate")</f>
        <v>Risk-free rate</v>
      </c>
      <c r="D20" s="106"/>
      <c r="E20" s="106"/>
      <c r="F20" s="106"/>
      <c r="G20" s="106"/>
      <c r="H20" s="107"/>
      <c r="J20" s="7"/>
      <c r="K20" s="7"/>
      <c r="L20" s="7"/>
      <c r="M20" s="7"/>
      <c r="N20" s="7"/>
      <c r="O20" s="7"/>
    </row>
    <row r="21" spans="2:15" x14ac:dyDescent="0.2">
      <c r="B21" s="49">
        <f ca="1">CHOOSE(RANDBETWEEN(1,3),0.8,1.2,1.4)</f>
        <v>1.4</v>
      </c>
      <c r="C21" s="106" t="s">
        <v>25</v>
      </c>
      <c r="D21" s="106"/>
      <c r="E21" s="106"/>
      <c r="F21" s="106"/>
      <c r="G21" s="106"/>
      <c r="H21" s="107"/>
      <c r="J21" s="7"/>
      <c r="K21" s="7"/>
      <c r="L21" s="7"/>
      <c r="M21" s="7"/>
      <c r="N21" s="7"/>
      <c r="O21" s="7"/>
    </row>
    <row r="22" spans="2:15" ht="15" thickBot="1" x14ac:dyDescent="0.25">
      <c r="B22" s="84">
        <f ca="1">RANDBETWEEN(1000,2000)</f>
        <v>1985</v>
      </c>
      <c r="C22" s="50" t="s">
        <v>37</v>
      </c>
      <c r="D22" s="50"/>
      <c r="E22" s="50"/>
      <c r="F22" s="50"/>
      <c r="G22" s="50"/>
      <c r="H22" s="51"/>
      <c r="J22" s="7"/>
      <c r="K22" s="7"/>
      <c r="L22" s="7"/>
      <c r="M22" s="7"/>
      <c r="N22" s="7"/>
      <c r="O22" s="7"/>
    </row>
    <row r="23" spans="2:15" ht="15" thickBot="1" x14ac:dyDescent="0.25">
      <c r="B23" s="43"/>
      <c r="C23" s="32"/>
      <c r="D23" s="32"/>
      <c r="E23" s="32"/>
      <c r="F23" s="32"/>
      <c r="G23" s="32"/>
      <c r="H23" s="45"/>
      <c r="J23" s="7"/>
      <c r="K23" s="7"/>
      <c r="L23" s="7"/>
      <c r="M23" s="7"/>
      <c r="N23" s="7"/>
      <c r="O23" s="7"/>
    </row>
    <row r="24" spans="2:15" ht="15.75" thickBot="1" x14ac:dyDescent="0.3">
      <c r="B24" s="111" t="s">
        <v>16</v>
      </c>
      <c r="C24" s="112"/>
      <c r="D24" s="112"/>
      <c r="E24" s="112"/>
      <c r="F24" s="112"/>
      <c r="G24" s="112"/>
      <c r="H24" s="113"/>
      <c r="J24" s="7"/>
      <c r="K24" s="7"/>
      <c r="L24" s="7"/>
      <c r="M24" s="7"/>
      <c r="N24" s="7"/>
      <c r="O24" s="7"/>
    </row>
    <row r="25" spans="2:15" x14ac:dyDescent="0.2">
      <c r="B25" s="52">
        <f ca="1">RANDBETWEEN(20,30)/100</f>
        <v>0.3</v>
      </c>
      <c r="C25" s="108" t="s">
        <v>8</v>
      </c>
      <c r="D25" s="109"/>
      <c r="E25" s="109"/>
      <c r="F25" s="109"/>
      <c r="G25" s="109"/>
      <c r="H25" s="110"/>
      <c r="K25" s="7"/>
      <c r="L25" s="7"/>
      <c r="M25" s="7"/>
      <c r="N25" s="7"/>
      <c r="O25" s="7"/>
    </row>
    <row r="26" spans="2:15" x14ac:dyDescent="0.2">
      <c r="B26" s="47">
        <f ca="1">RANDBETWEEN(15,20)/100</f>
        <v>0.18</v>
      </c>
      <c r="C26" s="120" t="str">
        <f ca="1">"Free cash flow growth rate for the next "&amp;H26&amp;" years"&amp;H27&amp;""</f>
        <v>Free cash flow growth rate for the next 4 years</v>
      </c>
      <c r="D26" s="106"/>
      <c r="E26" s="106"/>
      <c r="F26" s="106"/>
      <c r="G26" s="106"/>
      <c r="H26" s="53">
        <f ca="1">RANDBETWEEN(2,4)</f>
        <v>4</v>
      </c>
      <c r="J26" s="7"/>
      <c r="K26" s="7"/>
      <c r="L26" s="7"/>
      <c r="M26" s="7"/>
      <c r="N26" s="7"/>
      <c r="O26" s="7"/>
    </row>
    <row r="27" spans="2:15" ht="15.75" customHeight="1" thickBot="1" x14ac:dyDescent="0.25">
      <c r="B27" s="48">
        <f ca="1">RANDBETWEEN(4,5)/100</f>
        <v>0.04</v>
      </c>
      <c r="C27" s="114" t="str">
        <f ca="1">"Sustainable free cash flow growth rate after "&amp;H26&amp;" years"</f>
        <v>Sustainable free cash flow growth rate after 4 years</v>
      </c>
      <c r="D27" s="115"/>
      <c r="E27" s="115"/>
      <c r="F27" s="115"/>
      <c r="G27" s="115"/>
      <c r="H27" s="46"/>
      <c r="J27" s="7"/>
      <c r="K27" s="7"/>
      <c r="L27" s="7"/>
      <c r="M27" s="7"/>
      <c r="N27" s="7"/>
      <c r="O27" s="7"/>
    </row>
    <row r="28" spans="2:15" x14ac:dyDescent="0.2">
      <c r="B28" s="12"/>
      <c r="C28" s="16"/>
      <c r="D28" s="16"/>
      <c r="E28" s="16"/>
      <c r="F28" s="32"/>
      <c r="G28" s="17"/>
      <c r="H28" s="13"/>
      <c r="J28" s="7"/>
      <c r="K28" s="7"/>
      <c r="L28" s="7"/>
      <c r="M28" s="7"/>
      <c r="N28" s="7"/>
      <c r="O28" s="7"/>
    </row>
    <row r="29" spans="2:15" ht="15" x14ac:dyDescent="0.25">
      <c r="B29" s="78" t="s">
        <v>18</v>
      </c>
      <c r="C29" s="79"/>
      <c r="D29" s="79"/>
      <c r="E29" s="79"/>
      <c r="F29" s="79"/>
      <c r="G29" s="79"/>
      <c r="H29" s="80"/>
      <c r="J29" s="7"/>
      <c r="K29" s="7"/>
      <c r="L29" s="7"/>
      <c r="M29" s="7"/>
      <c r="N29" s="7"/>
      <c r="O29" s="7"/>
    </row>
    <row r="30" spans="2:15" x14ac:dyDescent="0.2">
      <c r="H30" s="13"/>
      <c r="J30" s="7"/>
      <c r="K30" s="7"/>
      <c r="L30" s="7"/>
      <c r="M30" s="7"/>
      <c r="N30" s="7"/>
      <c r="O30" s="7"/>
    </row>
    <row r="31" spans="2:15" x14ac:dyDescent="0.2">
      <c r="H31" s="7"/>
      <c r="I31" s="7"/>
      <c r="J31" s="7"/>
      <c r="K31" s="7"/>
      <c r="L31" s="7"/>
      <c r="M31" s="7"/>
      <c r="N31" s="7"/>
      <c r="O31" s="7"/>
    </row>
    <row r="32" spans="2:15" x14ac:dyDescent="0.2">
      <c r="H32" s="7"/>
      <c r="I32" s="7"/>
      <c r="J32" s="7"/>
      <c r="K32" s="7"/>
      <c r="L32" s="7"/>
      <c r="M32" s="7"/>
      <c r="N32" s="7"/>
      <c r="O32" s="7"/>
    </row>
    <row r="33" spans="2:15" x14ac:dyDescent="0.2">
      <c r="H33" s="7"/>
      <c r="I33" s="7"/>
      <c r="L33" s="7"/>
      <c r="M33" s="7"/>
      <c r="N33" s="7"/>
      <c r="O33" s="7"/>
    </row>
    <row r="34" spans="2:15" x14ac:dyDescent="0.2">
      <c r="H34" s="7"/>
      <c r="I34" s="7"/>
      <c r="J34" s="7"/>
      <c r="K34" s="7"/>
      <c r="L34" s="7"/>
      <c r="M34" s="7"/>
      <c r="N34" s="7"/>
      <c r="O34" s="7"/>
    </row>
    <row r="35" spans="2:15" ht="15" x14ac:dyDescent="0.25">
      <c r="C35" s="73" t="s">
        <v>9</v>
      </c>
      <c r="D35" s="73"/>
      <c r="E35" s="73"/>
      <c r="F35" s="73"/>
      <c r="G35" s="73"/>
      <c r="H35" s="73"/>
      <c r="I35" s="7"/>
      <c r="J35" s="7"/>
      <c r="K35" s="7"/>
      <c r="L35" s="7"/>
      <c r="M35" s="7"/>
      <c r="N35" s="7"/>
      <c r="O35" s="7"/>
    </row>
    <row r="36" spans="2:15" x14ac:dyDescent="0.2">
      <c r="B36" s="1"/>
      <c r="C36" s="31" t="s">
        <v>35</v>
      </c>
      <c r="G36" s="18"/>
      <c r="H36" s="18">
        <f ca="1">H11*(1-B25)</f>
        <v>692.3</v>
      </c>
      <c r="I36" s="7"/>
      <c r="J36" s="7"/>
      <c r="K36" s="7"/>
      <c r="L36" s="7"/>
      <c r="M36" s="7"/>
      <c r="N36" s="7"/>
      <c r="O36" s="7"/>
    </row>
    <row r="37" spans="2:15" x14ac:dyDescent="0.2">
      <c r="B37" s="1"/>
      <c r="C37" s="23" t="s">
        <v>2</v>
      </c>
      <c r="G37" s="24" t="s">
        <v>10</v>
      </c>
      <c r="H37" s="19">
        <f ca="1">H12</f>
        <v>114</v>
      </c>
      <c r="I37" s="7"/>
      <c r="J37" s="54"/>
      <c r="K37" s="7"/>
      <c r="L37" s="7"/>
      <c r="M37" s="7"/>
      <c r="N37" s="7"/>
      <c r="O37" s="7"/>
    </row>
    <row r="38" spans="2:15" x14ac:dyDescent="0.2">
      <c r="B38" s="1"/>
      <c r="C38" s="34" t="s">
        <v>4</v>
      </c>
      <c r="G38" s="17" t="s">
        <v>11</v>
      </c>
      <c r="H38" s="18">
        <f ca="1">H13</f>
        <v>41</v>
      </c>
      <c r="I38" s="7"/>
      <c r="L38" s="16"/>
      <c r="M38" s="16"/>
    </row>
    <row r="39" spans="2:15" x14ac:dyDescent="0.2">
      <c r="B39" s="1"/>
      <c r="C39" s="34" t="s">
        <v>5</v>
      </c>
      <c r="G39" s="17" t="s">
        <v>11</v>
      </c>
      <c r="H39" s="18">
        <f ca="1">H15</f>
        <v>50</v>
      </c>
      <c r="I39" s="7"/>
      <c r="J39" s="54"/>
      <c r="K39" s="7"/>
      <c r="L39" s="7"/>
      <c r="M39" s="7"/>
      <c r="N39" s="7"/>
      <c r="O39" s="7"/>
    </row>
    <row r="40" spans="2:15" x14ac:dyDescent="0.2">
      <c r="B40" s="1"/>
      <c r="C40" s="31" t="s">
        <v>36</v>
      </c>
      <c r="G40" s="17" t="s">
        <v>11</v>
      </c>
      <c r="H40" s="18">
        <f ca="1">H14*(1-B25)</f>
        <v>66.5</v>
      </c>
      <c r="I40" s="7"/>
      <c r="J40" s="7"/>
      <c r="K40" s="7"/>
      <c r="L40" s="7"/>
      <c r="M40" s="7"/>
      <c r="N40" s="7"/>
      <c r="O40" s="7"/>
    </row>
    <row r="41" spans="2:15" x14ac:dyDescent="0.2">
      <c r="B41" s="1"/>
      <c r="C41" s="27" t="s">
        <v>7</v>
      </c>
      <c r="D41" s="28"/>
      <c r="E41" s="28"/>
      <c r="F41" s="28"/>
      <c r="G41" s="25" t="s">
        <v>10</v>
      </c>
      <c r="H41" s="26">
        <f ca="1">H16</f>
        <v>92</v>
      </c>
      <c r="I41" s="7"/>
      <c r="J41" s="7"/>
      <c r="K41" s="7"/>
      <c r="L41" s="7"/>
      <c r="M41" s="7"/>
      <c r="N41" s="7"/>
      <c r="O41" s="7"/>
    </row>
    <row r="42" spans="2:15" ht="15.75" thickBot="1" x14ac:dyDescent="0.25">
      <c r="B42" s="1"/>
      <c r="C42" s="74"/>
      <c r="D42" s="75"/>
      <c r="E42" s="75"/>
      <c r="F42" s="75"/>
      <c r="G42" s="76" t="s">
        <v>12</v>
      </c>
      <c r="H42" s="77">
        <f ca="1">H36+H37-H38-H39-H40+H41</f>
        <v>740.8</v>
      </c>
      <c r="I42" s="7"/>
      <c r="J42" s="7"/>
      <c r="K42" s="7"/>
      <c r="L42" s="7"/>
      <c r="M42" s="7"/>
      <c r="N42" s="7"/>
      <c r="O42" s="7"/>
    </row>
    <row r="43" spans="2:15" ht="15" thickTop="1" x14ac:dyDescent="0.2">
      <c r="B43" s="1"/>
      <c r="C43" s="34"/>
      <c r="D43" s="32"/>
      <c r="E43" s="32"/>
      <c r="F43" s="32"/>
      <c r="G43" s="29"/>
      <c r="H43" s="17"/>
      <c r="I43" s="7"/>
      <c r="J43" s="7"/>
      <c r="K43" s="7"/>
      <c r="L43" s="7"/>
      <c r="M43" s="7"/>
      <c r="N43" s="7"/>
      <c r="O43" s="7"/>
    </row>
    <row r="44" spans="2:15" ht="14.25" customHeight="1" x14ac:dyDescent="0.25">
      <c r="B44" s="100" t="s">
        <v>27</v>
      </c>
      <c r="C44" s="100"/>
      <c r="D44" s="100"/>
      <c r="E44" s="100"/>
      <c r="F44" s="100"/>
      <c r="G44" s="100"/>
      <c r="H44" s="100"/>
      <c r="I44" s="7"/>
      <c r="J44" s="7"/>
      <c r="K44" s="7"/>
      <c r="L44" s="7"/>
      <c r="M44" s="7"/>
      <c r="N44" s="7"/>
      <c r="O44" s="7"/>
    </row>
    <row r="45" spans="2:15" x14ac:dyDescent="0.2">
      <c r="B45" s="90" t="str">
        <f ca="1">"For the first "&amp;H26&amp;" periods, our growth rate is "&amp;TEXT(B26,"0%")&amp;". In the last period, we assume growth at the constant steady rate "&amp;TEXT(B27,"0%")&amp;"."</f>
        <v>For the first 4 periods, our growth rate is 18%. In the last period, we assume growth at the constant steady rate 4%.</v>
      </c>
      <c r="C45" s="90"/>
      <c r="D45" s="90"/>
      <c r="E45" s="90"/>
      <c r="F45" s="90"/>
      <c r="G45" s="90"/>
      <c r="H45" s="90"/>
      <c r="I45" s="7"/>
      <c r="J45" s="7"/>
      <c r="K45" s="7"/>
      <c r="L45" s="7"/>
      <c r="M45" s="7"/>
      <c r="N45" s="7"/>
      <c r="O45" s="7"/>
    </row>
    <row r="46" spans="2:15" x14ac:dyDescent="0.2">
      <c r="B46" s="91"/>
      <c r="C46" s="91"/>
      <c r="D46" s="91"/>
      <c r="E46" s="91"/>
      <c r="F46" s="91"/>
      <c r="G46" s="91"/>
      <c r="H46" s="91"/>
      <c r="I46" s="7"/>
      <c r="J46" s="7"/>
      <c r="K46" s="7"/>
      <c r="L46" s="7"/>
      <c r="M46" s="7"/>
      <c r="N46" s="7"/>
      <c r="O46" s="7"/>
    </row>
    <row r="47" spans="2:15" x14ac:dyDescent="0.2">
      <c r="B47" s="14"/>
      <c r="C47" s="14"/>
      <c r="D47" s="14"/>
      <c r="E47" s="14"/>
      <c r="F47" s="14"/>
      <c r="G47" s="14"/>
      <c r="H47" s="14"/>
      <c r="I47" s="7"/>
      <c r="J47" s="7"/>
      <c r="K47" s="7"/>
      <c r="L47" s="7"/>
      <c r="M47" s="7"/>
      <c r="N47" s="7"/>
      <c r="O47" s="7"/>
    </row>
    <row r="48" spans="2:15" ht="16.5" x14ac:dyDescent="0.3">
      <c r="B48" s="81" t="s">
        <v>31</v>
      </c>
      <c r="C48" s="64">
        <f ca="1">IF(H26&gt;=1,H42*(1+B26),"--")</f>
        <v>874.14399999999989</v>
      </c>
      <c r="I48" s="7"/>
      <c r="J48" s="7"/>
      <c r="K48" s="7"/>
      <c r="L48" s="7"/>
      <c r="M48" s="7"/>
      <c r="N48" s="7"/>
      <c r="O48" s="7"/>
    </row>
    <row r="49" spans="2:15" ht="16.5" x14ac:dyDescent="0.3">
      <c r="B49" s="81" t="s">
        <v>32</v>
      </c>
      <c r="C49" s="64">
        <f ca="1">IF(H26&gt;=2,H42*((1+B26)^2),"--")</f>
        <v>1031.4899199999998</v>
      </c>
      <c r="I49" s="7"/>
      <c r="J49" s="7"/>
      <c r="K49" s="7"/>
      <c r="L49" s="7"/>
      <c r="M49" s="7"/>
      <c r="N49" s="7"/>
      <c r="O49" s="7"/>
    </row>
    <row r="50" spans="2:15" ht="16.5" x14ac:dyDescent="0.3">
      <c r="B50" s="81" t="s">
        <v>33</v>
      </c>
      <c r="C50" s="64">
        <f ca="1">IF(H26&gt;=3,H42*((1+B26)^3),"--")</f>
        <v>1217.1581055999998</v>
      </c>
      <c r="D50" s="13"/>
      <c r="I50" s="7"/>
      <c r="J50" s="7"/>
      <c r="K50" s="7"/>
      <c r="L50" s="7"/>
      <c r="M50" s="7"/>
      <c r="N50" s="7"/>
      <c r="O50" s="7"/>
    </row>
    <row r="51" spans="2:15" ht="16.5" x14ac:dyDescent="0.3">
      <c r="B51" s="81" t="s">
        <v>34</v>
      </c>
      <c r="C51" s="64">
        <f ca="1">IF(H26&gt;=4,H42*((1+B26)^4),"--")</f>
        <v>1436.2465646079995</v>
      </c>
      <c r="I51" s="7"/>
      <c r="J51" s="7"/>
      <c r="K51" s="7"/>
      <c r="L51" s="7"/>
      <c r="M51" s="7"/>
      <c r="N51" s="7"/>
      <c r="O51" s="7"/>
    </row>
    <row r="52" spans="2:15" x14ac:dyDescent="0.2">
      <c r="I52" s="7"/>
      <c r="J52" s="7"/>
      <c r="K52" s="7"/>
      <c r="L52" s="7"/>
      <c r="M52" s="7"/>
      <c r="N52" s="7"/>
      <c r="O52" s="7"/>
    </row>
    <row r="53" spans="2:15" ht="15" x14ac:dyDescent="0.25">
      <c r="B53" s="100" t="s">
        <v>22</v>
      </c>
      <c r="C53" s="100"/>
      <c r="D53" s="100"/>
      <c r="E53" s="100"/>
      <c r="F53" s="100"/>
      <c r="G53" s="100"/>
      <c r="H53" s="100"/>
      <c r="I53" s="7"/>
      <c r="J53" s="7"/>
      <c r="K53" s="7"/>
      <c r="L53" s="7"/>
      <c r="M53" s="7"/>
      <c r="N53" s="7"/>
      <c r="O53" s="7"/>
    </row>
    <row r="54" spans="2:15" ht="18.75" customHeight="1" x14ac:dyDescent="0.2">
      <c r="B54" s="116" t="s">
        <v>28</v>
      </c>
      <c r="C54" s="116"/>
      <c r="D54" s="116"/>
      <c r="E54" s="116"/>
      <c r="F54" s="116"/>
      <c r="G54" s="116"/>
      <c r="H54" s="116"/>
      <c r="I54" s="65"/>
      <c r="J54" s="7"/>
      <c r="K54" s="7"/>
      <c r="L54" s="7"/>
      <c r="M54" s="7"/>
      <c r="N54" s="7"/>
      <c r="O54" s="7"/>
    </row>
    <row r="55" spans="2:15" x14ac:dyDescent="0.2">
      <c r="B55" s="116"/>
      <c r="C55" s="116"/>
      <c r="D55" s="116"/>
      <c r="E55" s="116"/>
      <c r="F55" s="116"/>
      <c r="G55" s="116"/>
      <c r="H55" s="116"/>
      <c r="I55" s="65"/>
      <c r="J55" s="7"/>
      <c r="K55" s="7"/>
      <c r="L55" s="7"/>
      <c r="M55" s="7"/>
      <c r="N55" s="7"/>
      <c r="O55" s="7"/>
    </row>
    <row r="56" spans="2:15" x14ac:dyDescent="0.2">
      <c r="B56" s="61"/>
      <c r="C56" s="61"/>
      <c r="D56" s="61"/>
      <c r="E56" s="61"/>
      <c r="F56" s="61"/>
      <c r="G56" s="61"/>
      <c r="H56" s="61"/>
      <c r="I56" s="61"/>
      <c r="J56" s="7"/>
      <c r="K56" s="7"/>
      <c r="L56" s="7"/>
      <c r="M56" s="7"/>
      <c r="N56" s="7"/>
      <c r="O56" s="7"/>
    </row>
    <row r="57" spans="2:15" x14ac:dyDescent="0.2">
      <c r="B57" s="61"/>
      <c r="C57" s="62">
        <f ca="1">B20+B21*(B19-B20)</f>
        <v>0.13800000000000001</v>
      </c>
      <c r="D57" s="61"/>
      <c r="E57" s="61"/>
      <c r="F57" s="61"/>
      <c r="G57" s="61"/>
      <c r="H57" s="61"/>
      <c r="I57" s="61"/>
      <c r="J57" s="7"/>
      <c r="K57" s="7"/>
      <c r="L57" s="7"/>
      <c r="M57" s="7"/>
      <c r="N57" s="7"/>
      <c r="O57" s="7"/>
    </row>
    <row r="58" spans="2:15" x14ac:dyDescent="0.2">
      <c r="I58" s="7"/>
      <c r="J58" s="7"/>
      <c r="K58" s="7"/>
      <c r="L58" s="7"/>
      <c r="M58" s="7"/>
      <c r="N58" s="7"/>
      <c r="O58" s="7"/>
    </row>
    <row r="59" spans="2:15" ht="15" x14ac:dyDescent="0.25">
      <c r="B59" s="100" t="s">
        <v>21</v>
      </c>
      <c r="C59" s="100"/>
      <c r="D59" s="100"/>
      <c r="E59" s="100"/>
      <c r="F59" s="100"/>
      <c r="G59" s="100"/>
      <c r="H59" s="100"/>
      <c r="I59" s="7"/>
      <c r="J59" s="7"/>
      <c r="K59" s="7"/>
      <c r="L59" s="7"/>
      <c r="M59" s="7"/>
      <c r="N59" s="7"/>
      <c r="O59" s="7"/>
    </row>
    <row r="60" spans="2:15" x14ac:dyDescent="0.2">
      <c r="I60" s="7"/>
      <c r="J60" s="7"/>
      <c r="K60" s="7"/>
      <c r="L60" s="7"/>
      <c r="M60" s="7"/>
      <c r="N60" s="7"/>
      <c r="O60" s="7"/>
    </row>
    <row r="61" spans="2:15" ht="16.5" x14ac:dyDescent="0.3">
      <c r="B61" s="81" t="s">
        <v>29</v>
      </c>
      <c r="C61" s="64">
        <f ca="1">INDEX(C48:C51,H26)*(1+B27)</f>
        <v>1493.6964271923196</v>
      </c>
      <c r="I61" s="7"/>
      <c r="J61" s="7"/>
      <c r="K61" s="7"/>
      <c r="L61" s="7"/>
      <c r="M61" s="7"/>
      <c r="N61" s="7"/>
      <c r="O61" s="7"/>
    </row>
    <row r="62" spans="2:15" ht="16.5" x14ac:dyDescent="0.3">
      <c r="B62" s="81" t="s">
        <v>30</v>
      </c>
      <c r="C62" s="64">
        <f ca="1">C61/(C57-B27)</f>
        <v>15241.800277472648</v>
      </c>
      <c r="I62" s="7"/>
      <c r="J62" s="7"/>
      <c r="K62" s="7"/>
      <c r="L62" s="7"/>
      <c r="M62" s="7"/>
      <c r="N62" s="7"/>
      <c r="O62" s="7"/>
    </row>
    <row r="63" spans="2:15" x14ac:dyDescent="0.2">
      <c r="I63" s="7"/>
      <c r="J63" s="7"/>
      <c r="K63" s="7"/>
      <c r="L63" s="7"/>
      <c r="M63" s="7"/>
      <c r="N63" s="7"/>
      <c r="O63" s="7"/>
    </row>
    <row r="64" spans="2:15" ht="15" x14ac:dyDescent="0.25">
      <c r="B64" s="100" t="s">
        <v>42</v>
      </c>
      <c r="C64" s="100"/>
      <c r="D64" s="100"/>
      <c r="E64" s="100"/>
      <c r="F64" s="100"/>
      <c r="G64" s="100"/>
      <c r="H64" s="100"/>
      <c r="I64" s="7"/>
      <c r="J64" s="7"/>
      <c r="K64" s="7"/>
      <c r="L64" s="7"/>
      <c r="M64" s="7"/>
      <c r="N64" s="7"/>
      <c r="O64" s="7"/>
    </row>
    <row r="65" spans="2:15" x14ac:dyDescent="0.2">
      <c r="I65" s="7"/>
      <c r="J65" s="7"/>
      <c r="K65" s="7"/>
      <c r="L65" s="7"/>
      <c r="M65" s="7"/>
      <c r="N65" s="7"/>
      <c r="O65" s="7"/>
    </row>
    <row r="66" spans="2:15" x14ac:dyDescent="0.2">
      <c r="I66" s="7"/>
      <c r="J66" s="7"/>
      <c r="K66" s="7"/>
      <c r="L66" s="7"/>
      <c r="M66" s="7"/>
      <c r="N66" s="7"/>
      <c r="O66" s="7"/>
    </row>
    <row r="67" spans="2:15" x14ac:dyDescent="0.2">
      <c r="I67" s="7"/>
      <c r="J67" s="7"/>
      <c r="K67" s="7"/>
      <c r="L67" s="7"/>
      <c r="M67" s="7"/>
      <c r="N67" s="7"/>
      <c r="O67" s="7"/>
    </row>
    <row r="68" spans="2:15" x14ac:dyDescent="0.2">
      <c r="I68" s="7"/>
      <c r="J68" s="7"/>
      <c r="K68" s="7"/>
      <c r="L68" s="7"/>
      <c r="M68" s="7"/>
      <c r="N68" s="7"/>
      <c r="O68" s="7"/>
    </row>
    <row r="69" spans="2:15" x14ac:dyDescent="0.2">
      <c r="I69" s="7"/>
      <c r="J69" s="7"/>
      <c r="K69" s="7"/>
      <c r="L69" s="7"/>
      <c r="M69" s="7"/>
      <c r="N69" s="7"/>
      <c r="O69" s="7"/>
    </row>
    <row r="70" spans="2:15" x14ac:dyDescent="0.2">
      <c r="I70" s="7"/>
      <c r="J70" s="7"/>
      <c r="K70" s="7"/>
      <c r="L70" s="7"/>
      <c r="M70" s="7"/>
      <c r="N70" s="7"/>
      <c r="O70" s="7"/>
    </row>
    <row r="71" spans="2:15" x14ac:dyDescent="0.2">
      <c r="B71" s="94"/>
      <c r="C71" s="95"/>
      <c r="D71" s="55">
        <v>1</v>
      </c>
      <c r="E71" s="55">
        <v>2</v>
      </c>
      <c r="F71" s="55">
        <v>3</v>
      </c>
      <c r="G71" s="55">
        <v>4</v>
      </c>
      <c r="H71" s="7"/>
      <c r="I71" s="7"/>
      <c r="J71" s="7"/>
      <c r="K71" s="7"/>
      <c r="L71" s="7"/>
      <c r="M71" s="7"/>
      <c r="N71" s="7"/>
      <c r="O71" s="7"/>
    </row>
    <row r="72" spans="2:15" x14ac:dyDescent="0.2">
      <c r="B72" s="96" t="s">
        <v>23</v>
      </c>
      <c r="C72" s="97"/>
      <c r="D72" s="56">
        <f ca="1">IF(C48="",0,C48)</f>
        <v>874.14399999999989</v>
      </c>
      <c r="E72" s="67">
        <f ca="1">IF(C49="",0,C49)</f>
        <v>1031.4899199999998</v>
      </c>
      <c r="F72" s="56">
        <f ca="1">IF(C50="--",0,C50)</f>
        <v>1217.1581055999998</v>
      </c>
      <c r="G72" s="56">
        <f ca="1">IF(C51="--",0,C51)</f>
        <v>1436.2465646079995</v>
      </c>
      <c r="H72" s="7"/>
      <c r="I72" s="7"/>
      <c r="J72" s="7"/>
      <c r="K72" s="7"/>
      <c r="L72" s="7"/>
      <c r="M72" s="7"/>
      <c r="N72" s="7"/>
      <c r="O72" s="7"/>
    </row>
    <row r="73" spans="2:15" x14ac:dyDescent="0.2">
      <c r="B73" s="98" t="s">
        <v>19</v>
      </c>
      <c r="C73" s="99"/>
      <c r="D73" s="57">
        <v>0</v>
      </c>
      <c r="E73" s="68">
        <f ca="1">IF($H$26=2,$C$62,0)</f>
        <v>0</v>
      </c>
      <c r="F73" s="56">
        <f ca="1">IF($H$26=3,$C$62,0)</f>
        <v>0</v>
      </c>
      <c r="G73" s="57">
        <f ca="1">IF($H$26=4,$C$62,0)</f>
        <v>15241.800277472648</v>
      </c>
      <c r="H73" s="7"/>
      <c r="I73" s="7"/>
      <c r="J73" s="7"/>
      <c r="K73" s="7"/>
      <c r="L73" s="7"/>
      <c r="M73" s="7"/>
      <c r="N73" s="7"/>
      <c r="O73" s="7"/>
    </row>
    <row r="74" spans="2:15" ht="15" x14ac:dyDescent="0.25">
      <c r="B74" s="92" t="s">
        <v>24</v>
      </c>
      <c r="C74" s="93"/>
      <c r="D74" s="58">
        <f ca="1">SUM(D72:D73)/(1+$C$57)</f>
        <v>768.14059753954302</v>
      </c>
      <c r="E74" s="58">
        <f ca="1">SUM(E72:E73)/((1+$C$57)^2)</f>
        <v>796.49025052430636</v>
      </c>
      <c r="F74" s="58">
        <f ca="1">SUM(F72:F73)/((1+$C$57)^3)</f>
        <v>825.8862000164163</v>
      </c>
      <c r="G74" s="58">
        <f ca="1">SUM(G72:G73)/((1+$C$57)^4)</f>
        <v>9944.3440410139901</v>
      </c>
      <c r="H74" s="7"/>
      <c r="I74" s="7"/>
      <c r="J74" s="7"/>
      <c r="K74" s="7"/>
      <c r="L74" s="7"/>
      <c r="M74" s="7"/>
      <c r="N74" s="7"/>
      <c r="O74" s="7"/>
    </row>
    <row r="75" spans="2:15" ht="15" x14ac:dyDescent="0.25">
      <c r="D75" s="33"/>
      <c r="E75" s="33"/>
      <c r="F75" s="59" t="s">
        <v>20</v>
      </c>
      <c r="G75" s="60">
        <f ca="1">SUM(D74:G74)</f>
        <v>12334.861089094256</v>
      </c>
      <c r="I75" s="7"/>
      <c r="J75" s="7"/>
      <c r="K75" s="7"/>
      <c r="L75" s="7"/>
      <c r="M75" s="7"/>
      <c r="N75" s="7"/>
      <c r="O75" s="7"/>
    </row>
    <row r="76" spans="2:15" ht="15" x14ac:dyDescent="0.25">
      <c r="D76" s="33"/>
      <c r="E76" s="33"/>
      <c r="F76" s="59"/>
      <c r="G76" s="60"/>
      <c r="I76" s="7"/>
      <c r="J76" s="7"/>
      <c r="K76" s="7"/>
      <c r="L76" s="7"/>
      <c r="M76" s="7"/>
      <c r="N76" s="7"/>
      <c r="O76" s="7"/>
    </row>
    <row r="77" spans="2:15" ht="15" x14ac:dyDescent="0.25">
      <c r="B77" s="100" t="s">
        <v>43</v>
      </c>
      <c r="C77" s="100"/>
      <c r="D77" s="100"/>
      <c r="E77" s="100"/>
      <c r="F77" s="100"/>
      <c r="G77" s="100"/>
      <c r="H77" s="100"/>
      <c r="I77" s="7"/>
      <c r="J77" s="7"/>
      <c r="K77" s="7"/>
      <c r="L77" s="7"/>
      <c r="M77" s="7"/>
      <c r="N77" s="7"/>
      <c r="O77" s="7"/>
    </row>
    <row r="78" spans="2:15" s="13" customFormat="1" x14ac:dyDescent="0.2"/>
    <row r="79" spans="2:15" s="13" customFormat="1" ht="17.25" x14ac:dyDescent="0.3">
      <c r="B79" s="101" t="s">
        <v>38</v>
      </c>
      <c r="C79" s="102"/>
      <c r="D79" s="85">
        <f ca="1">G75</f>
        <v>12334.861089094256</v>
      </c>
    </row>
    <row r="80" spans="2:15" s="13" customFormat="1" ht="15" customHeight="1" x14ac:dyDescent="0.2">
      <c r="B80" s="101" t="s">
        <v>37</v>
      </c>
      <c r="C80" s="102"/>
      <c r="D80" s="86">
        <f ca="1">B22</f>
        <v>1985</v>
      </c>
      <c r="G80" s="83"/>
    </row>
    <row r="81" spans="1:15" s="13" customFormat="1" ht="15.75" thickBot="1" x14ac:dyDescent="0.3">
      <c r="B81" s="15"/>
      <c r="G81" s="83"/>
    </row>
    <row r="82" spans="1:15" s="13" customFormat="1" ht="15" customHeight="1" thickBot="1" x14ac:dyDescent="0.25">
      <c r="B82" s="88" t="s">
        <v>39</v>
      </c>
      <c r="C82" s="89"/>
      <c r="D82" s="87">
        <f ca="1">G75/B22</f>
        <v>6.2140358131457214</v>
      </c>
      <c r="G82" s="83"/>
    </row>
    <row r="83" spans="1:15" ht="15" x14ac:dyDescent="0.25">
      <c r="E83" s="33"/>
      <c r="F83" s="59"/>
      <c r="G83" s="60"/>
      <c r="I83" s="7"/>
      <c r="J83" s="7"/>
      <c r="K83" s="7"/>
      <c r="L83" s="7"/>
      <c r="M83" s="7"/>
      <c r="N83" s="7"/>
      <c r="O83" s="7"/>
    </row>
    <row r="84" spans="1:15" ht="15" customHeight="1" x14ac:dyDescent="0.2">
      <c r="B84" s="121" t="s">
        <v>26</v>
      </c>
      <c r="C84" s="121"/>
      <c r="D84" s="121"/>
      <c r="E84" s="121"/>
      <c r="F84" s="121"/>
      <c r="G84" s="121"/>
      <c r="H84" s="121"/>
      <c r="I84" s="7"/>
      <c r="J84" s="7"/>
      <c r="K84" s="7"/>
      <c r="L84" s="7"/>
      <c r="M84" s="7"/>
      <c r="N84" s="7"/>
      <c r="O84" s="7"/>
    </row>
    <row r="85" spans="1:15" x14ac:dyDescent="0.2">
      <c r="B85" s="1"/>
      <c r="H85" s="16"/>
      <c r="I85" s="14"/>
      <c r="J85" s="16"/>
      <c r="K85" s="16"/>
      <c r="L85" s="16"/>
      <c r="M85" s="16"/>
      <c r="N85" s="7"/>
      <c r="O85" s="7"/>
    </row>
    <row r="86" spans="1:15" x14ac:dyDescent="0.2">
      <c r="A86" s="6"/>
      <c r="B86" s="66" t="s">
        <v>0</v>
      </c>
      <c r="G86" s="105" t="s">
        <v>1</v>
      </c>
      <c r="H86" s="105"/>
    </row>
  </sheetData>
  <mergeCells count="28">
    <mergeCell ref="B1:J2"/>
    <mergeCell ref="K1:N2"/>
    <mergeCell ref="G86:H86"/>
    <mergeCell ref="C21:H21"/>
    <mergeCell ref="C20:H20"/>
    <mergeCell ref="C19:H19"/>
    <mergeCell ref="C25:H25"/>
    <mergeCell ref="B24:H24"/>
    <mergeCell ref="C27:G27"/>
    <mergeCell ref="B5:H7"/>
    <mergeCell ref="B54:H55"/>
    <mergeCell ref="B18:H18"/>
    <mergeCell ref="C26:G26"/>
    <mergeCell ref="B9:H9"/>
    <mergeCell ref="B84:H84"/>
    <mergeCell ref="B53:H53"/>
    <mergeCell ref="B44:H44"/>
    <mergeCell ref="B64:H64"/>
    <mergeCell ref="B77:H77"/>
    <mergeCell ref="B80:C80"/>
    <mergeCell ref="B79:C79"/>
    <mergeCell ref="B82:C82"/>
    <mergeCell ref="B45:H46"/>
    <mergeCell ref="B74:C74"/>
    <mergeCell ref="B71:C71"/>
    <mergeCell ref="B72:C72"/>
    <mergeCell ref="B73:C73"/>
    <mergeCell ref="B59:H59"/>
  </mergeCells>
  <hyperlinks>
    <hyperlink ref="B86" location="FCFE!A4" display="▲Top" xr:uid="{61A56C18-440A-4F12-A1C4-DED3915A3CF0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FCFE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2020-08-09T14:29:18Z</dcterms:created>
  <dcterms:modified xsi:type="dcterms:W3CDTF">2020-10-27T12:36:07Z</dcterms:modified>
</cp:coreProperties>
</file>