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B9F3AEBA-D32B-4729-8757-4A04AEF175AF}" xr6:coauthVersionLast="36" xr6:coauthVersionMax="45" xr10:uidLastSave="{00000000-0000-0000-0000-000000000000}"/>
  <bookViews>
    <workbookView xWindow="0" yWindow="0" windowWidth="28800" windowHeight="12210" xr2:uid="{12DF3AD5-83F3-4D9C-92FA-142E09C9DB9A}"/>
  </bookViews>
  <sheets>
    <sheet name="Investment Opportunity Set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4">'Investment Opportunity Set'!$A$4</definedName>
    <definedName name="Home5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P19" i="1"/>
  <c r="P15" i="1"/>
  <c r="N15" i="1"/>
  <c r="C15" i="1"/>
  <c r="D15" i="1"/>
  <c r="D37" i="1" s="1"/>
  <c r="C16" i="1"/>
  <c r="C37" i="1" s="1"/>
  <c r="J25" i="1" s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D14" i="1"/>
  <c r="C14" i="1"/>
  <c r="C38" i="1" s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4" i="1"/>
  <c r="D36" i="1"/>
  <c r="C36" i="1" l="1"/>
  <c r="I26" i="1" s="1"/>
  <c r="P20" i="1" s="1"/>
  <c r="J17" i="1"/>
  <c r="J21" i="1"/>
  <c r="J19" i="1"/>
  <c r="J28" i="1"/>
  <c r="J15" i="1"/>
  <c r="I24" i="1"/>
  <c r="J22" i="1"/>
  <c r="I27" i="1"/>
  <c r="J24" i="1"/>
  <c r="J26" i="1"/>
  <c r="O20" i="1" s="1"/>
  <c r="J14" i="1"/>
  <c r="J18" i="1"/>
  <c r="J16" i="1"/>
  <c r="O16" i="1" s="1"/>
  <c r="J20" i="1"/>
  <c r="J23" i="1"/>
  <c r="J27" i="1"/>
  <c r="I15" i="1" l="1"/>
  <c r="I18" i="1"/>
  <c r="I14" i="1"/>
  <c r="G32" i="1"/>
  <c r="F32" i="1" s="1"/>
  <c r="J32" i="1" s="1"/>
  <c r="M27" i="1" s="1"/>
  <c r="I17" i="1"/>
  <c r="I23" i="1"/>
  <c r="I21" i="1"/>
  <c r="I20" i="1"/>
  <c r="I25" i="1"/>
  <c r="I19" i="1"/>
  <c r="I28" i="1"/>
  <c r="I16" i="1"/>
  <c r="I22" i="1"/>
  <c r="P16" i="1"/>
  <c r="J36" i="1"/>
  <c r="N22" i="1"/>
  <c r="M22" i="1" s="1"/>
  <c r="M16" i="1"/>
  <c r="N16" i="1" s="1"/>
  <c r="J35" i="1" s="1"/>
  <c r="J37" i="1"/>
  <c r="I32" i="1" l="1"/>
  <c r="N27" i="1" l="1"/>
  <c r="J38" i="1"/>
</calcChain>
</file>

<file path=xl/sharedStrings.xml><?xml version="1.0" encoding="utf-8"?>
<sst xmlns="http://schemas.openxmlformats.org/spreadsheetml/2006/main" count="46" uniqueCount="35">
  <si>
    <t>▲Top</t>
  </si>
  <si>
    <t>© Joseph Farizo</t>
  </si>
  <si>
    <t>Year</t>
  </si>
  <si>
    <t>ρ</t>
  </si>
  <si>
    <t>E(R)</t>
  </si>
  <si>
    <t>Summary Information</t>
  </si>
  <si>
    <t>S Fund</t>
  </si>
  <si>
    <t>B Fund</t>
  </si>
  <si>
    <t>Historical Data</t>
  </si>
  <si>
    <t>Portfolios</t>
  </si>
  <si>
    <t>*For simplicity we'll use population, rather than sample, standard deviation.</t>
  </si>
  <si>
    <t>.</t>
  </si>
  <si>
    <r>
      <t>w</t>
    </r>
    <r>
      <rPr>
        <b/>
        <vertAlign val="subscript"/>
        <sz val="10"/>
        <color theme="0"/>
        <rFont val="Arial"/>
        <family val="2"/>
      </rPr>
      <t>S</t>
    </r>
  </si>
  <si>
    <r>
      <t>w</t>
    </r>
    <r>
      <rPr>
        <b/>
        <vertAlign val="subscript"/>
        <sz val="10"/>
        <color theme="0"/>
        <rFont val="Arial"/>
        <family val="2"/>
      </rPr>
      <t>B</t>
    </r>
  </si>
  <si>
    <r>
      <t>E(R)</t>
    </r>
    <r>
      <rPr>
        <b/>
        <vertAlign val="subscript"/>
        <sz val="10"/>
        <color theme="0"/>
        <rFont val="Arial"/>
        <family val="2"/>
      </rPr>
      <t>P</t>
    </r>
  </si>
  <si>
    <r>
      <t>σ</t>
    </r>
    <r>
      <rPr>
        <b/>
        <vertAlign val="subscript"/>
        <sz val="10"/>
        <color theme="0"/>
        <rFont val="Arial"/>
        <family val="2"/>
      </rPr>
      <t>P</t>
    </r>
  </si>
  <si>
    <t>Risk Free</t>
  </si>
  <si>
    <t>x</t>
  </si>
  <si>
    <t>y</t>
  </si>
  <si>
    <t>Rf</t>
  </si>
  <si>
    <t>Min var portfolio graph</t>
  </si>
  <si>
    <r>
      <t xml:space="preserve">Press F9 or </t>
    </r>
    <r>
      <rPr>
        <i/>
        <sz val="11"/>
        <rFont val="Arial"/>
        <family val="2"/>
      </rPr>
      <t xml:space="preserve">Data </t>
    </r>
    <r>
      <rPr>
        <i/>
        <sz val="11"/>
        <rFont val="Times New Roman"/>
        <family val="1"/>
      </rPr>
      <t xml:space="preserve">► </t>
    </r>
    <r>
      <rPr>
        <i/>
        <sz val="11"/>
        <rFont val="Arial"/>
        <family val="2"/>
      </rPr>
      <t>Refresh All</t>
    </r>
    <r>
      <rPr>
        <sz val="11"/>
        <rFont val="Arial"/>
        <family val="2"/>
      </rPr>
      <t xml:space="preserve"> to generate new simulated returns for the S and B funds. Negative weights are short positions. The minimum variance portfolio is only of those portfolios presented below. Choose a risk free rate from the drop down menu to draw CALs to various portfolios.</t>
    </r>
  </si>
  <si>
    <t>min var</t>
  </si>
  <si>
    <t>all stock</t>
  </si>
  <si>
    <t>all bond</t>
  </si>
  <si>
    <r>
      <t>Sharpe CAL</t>
    </r>
    <r>
      <rPr>
        <vertAlign val="subscript"/>
        <sz val="11"/>
        <rFont val="Arial"/>
        <family val="2"/>
      </rPr>
      <t>STOCK</t>
    </r>
  </si>
  <si>
    <r>
      <t>Sharpe CAL</t>
    </r>
    <r>
      <rPr>
        <vertAlign val="subscript"/>
        <sz val="11"/>
        <rFont val="Arial"/>
        <family val="2"/>
      </rPr>
      <t>BOND</t>
    </r>
  </si>
  <si>
    <t>Optimal Weights</t>
  </si>
  <si>
    <t>optimal</t>
  </si>
  <si>
    <r>
      <t>σ</t>
    </r>
    <r>
      <rPr>
        <vertAlign val="superscript"/>
        <sz val="11"/>
        <color theme="1"/>
        <rFont val="Times New Roman"/>
        <family val="1"/>
      </rPr>
      <t>*</t>
    </r>
  </si>
  <si>
    <r>
      <t>Sharpe CAL</t>
    </r>
    <r>
      <rPr>
        <vertAlign val="subscript"/>
        <sz val="11"/>
        <rFont val="Arial"/>
        <family val="2"/>
      </rPr>
      <t>OPTIMAL</t>
    </r>
  </si>
  <si>
    <t>Reward to Volatility</t>
  </si>
  <si>
    <r>
      <t>Sharpe CAL</t>
    </r>
    <r>
      <rPr>
        <vertAlign val="subscript"/>
        <sz val="11"/>
        <rFont val="Arial"/>
        <family val="2"/>
      </rPr>
      <t>MINVAR</t>
    </r>
  </si>
  <si>
    <t>Optimally Risky Portfolio</t>
  </si>
  <si>
    <t>Optimal Risky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</si>
</sst>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Georgia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0"/>
      <name val="Arial"/>
      <family val="2"/>
    </font>
    <font>
      <sz val="11"/>
      <color rgb="FFEFE0D9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i/>
      <sz val="11"/>
      <color theme="0"/>
      <name val="Arial"/>
      <family val="2"/>
    </font>
    <font>
      <vertAlign val="subscript"/>
      <sz val="11"/>
      <name val="Arial"/>
      <family val="2"/>
    </font>
    <font>
      <vertAlign val="superscript"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1" fillId="0" borderId="0"/>
    <xf numFmtId="0" fontId="3" fillId="4" borderId="0">
      <alignment horizontal="left"/>
    </xf>
  </cellStyleXfs>
  <cellXfs count="102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8" fillId="4" borderId="0" xfId="0" applyFont="1" applyFill="1"/>
    <xf numFmtId="0" fontId="9" fillId="3" borderId="0" xfId="3" applyFont="1">
      <alignment horizontal="center"/>
    </xf>
    <xf numFmtId="0" fontId="9" fillId="3" borderId="0" xfId="3" applyFont="1" applyAlignment="1">
      <alignment horizontal="left"/>
    </xf>
    <xf numFmtId="0" fontId="9" fillId="3" borderId="0" xfId="2" applyFont="1" applyFill="1" applyAlignment="1">
      <alignment horizontal="center"/>
    </xf>
    <xf numFmtId="10" fontId="8" fillId="4" borderId="0" xfId="1" applyNumberFormat="1" applyFont="1" applyFill="1"/>
    <xf numFmtId="0" fontId="9" fillId="3" borderId="0" xfId="3" applyFont="1" applyAlignment="1">
      <alignment horizontal="right"/>
    </xf>
    <xf numFmtId="0" fontId="8" fillId="3" borderId="0" xfId="0" applyFont="1" applyFill="1"/>
    <xf numFmtId="0" fontId="8" fillId="6" borderId="0" xfId="0" applyFont="1" applyFill="1" applyAlignment="1"/>
    <xf numFmtId="9" fontId="11" fillId="0" borderId="0" xfId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9" fontId="11" fillId="0" borderId="5" xfId="1" applyFont="1" applyBorder="1" applyAlignment="1">
      <alignment horizontal="center"/>
    </xf>
    <xf numFmtId="9" fontId="11" fillId="0" borderId="7" xfId="1" applyFont="1" applyBorder="1" applyAlignment="1">
      <alignment horizontal="center"/>
    </xf>
    <xf numFmtId="9" fontId="11" fillId="0" borderId="8" xfId="1" applyFont="1" applyBorder="1" applyAlignment="1">
      <alignment horizontal="center"/>
    </xf>
    <xf numFmtId="164" fontId="11" fillId="0" borderId="0" xfId="1" applyNumberFormat="1" applyFont="1" applyBorder="1"/>
    <xf numFmtId="164" fontId="11" fillId="0" borderId="6" xfId="1" applyNumberFormat="1" applyFont="1" applyBorder="1"/>
    <xf numFmtId="164" fontId="11" fillId="0" borderId="6" xfId="1" applyNumberFormat="1" applyFont="1" applyBorder="1" applyAlignment="1">
      <alignment horizontal="center"/>
    </xf>
    <xf numFmtId="164" fontId="11" fillId="0" borderId="9" xfId="1" applyNumberFormat="1" applyFont="1" applyBorder="1" applyAlignment="1">
      <alignment horizontal="center"/>
    </xf>
    <xf numFmtId="0" fontId="14" fillId="4" borderId="0" xfId="0" applyFont="1" applyFill="1"/>
    <xf numFmtId="164" fontId="11" fillId="0" borderId="8" xfId="1" applyNumberFormat="1" applyFont="1" applyBorder="1"/>
    <xf numFmtId="164" fontId="11" fillId="0" borderId="9" xfId="1" applyNumberFormat="1" applyFont="1" applyBorder="1"/>
    <xf numFmtId="0" fontId="8" fillId="4" borderId="0" xfId="0" applyFont="1" applyFill="1" applyAlignment="1">
      <alignment horizontal="left" wrapText="1"/>
    </xf>
    <xf numFmtId="164" fontId="11" fillId="0" borderId="2" xfId="1" applyNumberFormat="1" applyFont="1" applyBorder="1"/>
    <xf numFmtId="164" fontId="11" fillId="0" borderId="3" xfId="1" applyNumberFormat="1" applyFont="1" applyBorder="1"/>
    <xf numFmtId="164" fontId="11" fillId="0" borderId="0" xfId="0" applyNumberFormat="1" applyFont="1" applyBorder="1"/>
    <xf numFmtId="164" fontId="11" fillId="0" borderId="6" xfId="0" applyNumberFormat="1" applyFont="1" applyBorder="1"/>
    <xf numFmtId="10" fontId="11" fillId="0" borderId="8" xfId="1" applyNumberFormat="1" applyFont="1" applyBorder="1" applyAlignment="1">
      <alignment horizontal="center"/>
    </xf>
    <xf numFmtId="0" fontId="11" fillId="4" borderId="4" xfId="0" applyFont="1" applyFill="1" applyBorder="1"/>
    <xf numFmtId="0" fontId="11" fillId="4" borderId="5" xfId="0" applyFont="1" applyFill="1" applyBorder="1"/>
    <xf numFmtId="0" fontId="11" fillId="4" borderId="7" xfId="0" applyFont="1" applyFill="1" applyBorder="1"/>
    <xf numFmtId="0" fontId="12" fillId="4" borderId="5" xfId="0" applyFont="1" applyFill="1" applyBorder="1"/>
    <xf numFmtId="0" fontId="12" fillId="4" borderId="7" xfId="0" applyFont="1" applyFill="1" applyBorder="1"/>
    <xf numFmtId="9" fontId="8" fillId="0" borderId="5" xfId="1" applyFont="1" applyBorder="1" applyAlignment="1">
      <alignment horizontal="center"/>
    </xf>
    <xf numFmtId="9" fontId="8" fillId="0" borderId="0" xfId="1" applyFont="1" applyBorder="1" applyAlignment="1">
      <alignment horizontal="center"/>
    </xf>
    <xf numFmtId="10" fontId="8" fillId="0" borderId="0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10" fontId="8" fillId="0" borderId="0" xfId="1" applyNumberFormat="1" applyFont="1" applyFill="1" applyBorder="1" applyAlignment="1">
      <alignment horizontal="center"/>
    </xf>
    <xf numFmtId="9" fontId="11" fillId="0" borderId="4" xfId="1" applyFont="1" applyBorder="1" applyAlignment="1">
      <alignment horizontal="center"/>
    </xf>
    <xf numFmtId="9" fontId="11" fillId="0" borderId="2" xfId="1" applyFont="1" applyBorder="1" applyAlignment="1">
      <alignment horizontal="center"/>
    </xf>
    <xf numFmtId="9" fontId="9" fillId="0" borderId="2" xfId="1" applyFont="1" applyBorder="1" applyAlignment="1">
      <alignment horizontal="center"/>
    </xf>
    <xf numFmtId="10" fontId="11" fillId="0" borderId="2" xfId="1" applyNumberFormat="1" applyFont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9" fontId="8" fillId="0" borderId="5" xfId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9" fontId="8" fillId="8" borderId="12" xfId="0" applyNumberFormat="1" applyFont="1" applyFill="1" applyBorder="1"/>
    <xf numFmtId="0" fontId="8" fillId="4" borderId="4" xfId="0" applyFont="1" applyFill="1" applyBorder="1"/>
    <xf numFmtId="0" fontId="8" fillId="4" borderId="3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9" fontId="8" fillId="4" borderId="6" xfId="0" applyNumberFormat="1" applyFont="1" applyFill="1" applyBorder="1" applyAlignment="1">
      <alignment horizontal="center"/>
    </xf>
    <xf numFmtId="164" fontId="8" fillId="4" borderId="7" xfId="0" quotePrefix="1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5" xfId="0" applyFont="1" applyFill="1" applyBorder="1"/>
    <xf numFmtId="0" fontId="8" fillId="4" borderId="13" xfId="0" applyFont="1" applyFill="1" applyBorder="1"/>
    <xf numFmtId="9" fontId="8" fillId="4" borderId="14" xfId="0" applyNumberFormat="1" applyFont="1" applyFill="1" applyBorder="1"/>
    <xf numFmtId="164" fontId="8" fillId="4" borderId="7" xfId="1" applyNumberFormat="1" applyFont="1" applyFill="1" applyBorder="1"/>
    <xf numFmtId="164" fontId="8" fillId="4" borderId="9" xfId="0" applyNumberFormat="1" applyFont="1" applyFill="1" applyBorder="1"/>
    <xf numFmtId="9" fontId="8" fillId="4" borderId="6" xfId="0" applyNumberFormat="1" applyFont="1" applyFill="1" applyBorder="1"/>
    <xf numFmtId="10" fontId="8" fillId="4" borderId="9" xfId="0" applyNumberFormat="1" applyFont="1" applyFill="1" applyBorder="1"/>
    <xf numFmtId="164" fontId="8" fillId="4" borderId="7" xfId="0" applyNumberFormat="1" applyFont="1" applyFill="1" applyBorder="1"/>
    <xf numFmtId="0" fontId="8" fillId="4" borderId="8" xfId="0" applyFont="1" applyFill="1" applyBorder="1"/>
    <xf numFmtId="0" fontId="8" fillId="0" borderId="8" xfId="0" applyFont="1" applyFill="1" applyBorder="1"/>
    <xf numFmtId="164" fontId="8" fillId="4" borderId="7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/>
    </xf>
    <xf numFmtId="9" fontId="8" fillId="0" borderId="7" xfId="1" applyFont="1" applyFill="1" applyBorder="1"/>
    <xf numFmtId="9" fontId="8" fillId="0" borderId="8" xfId="1" applyFont="1" applyFill="1" applyBorder="1"/>
    <xf numFmtId="0" fontId="8" fillId="4" borderId="0" xfId="0" applyFont="1" applyFill="1" applyAlignment="1">
      <alignment horizontal="justify" wrapText="1"/>
    </xf>
    <xf numFmtId="0" fontId="8" fillId="4" borderId="2" xfId="0" applyFont="1" applyFill="1" applyBorder="1"/>
    <xf numFmtId="165" fontId="8" fillId="10" borderId="3" xfId="0" applyNumberFormat="1" applyFont="1" applyFill="1" applyBorder="1"/>
    <xf numFmtId="0" fontId="8" fillId="4" borderId="0" xfId="0" applyFont="1" applyFill="1" applyBorder="1"/>
    <xf numFmtId="165" fontId="8" fillId="9" borderId="6" xfId="0" applyNumberFormat="1" applyFont="1" applyFill="1" applyBorder="1"/>
    <xf numFmtId="165" fontId="8" fillId="11" borderId="6" xfId="0" applyNumberFormat="1" applyFont="1" applyFill="1" applyBorder="1"/>
    <xf numFmtId="165" fontId="8" fillId="12" borderId="9" xfId="0" applyNumberFormat="1" applyFont="1" applyFill="1" applyBorder="1"/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7" fillId="5" borderId="1" xfId="4" applyFont="1" applyBorder="1" applyAlignment="1">
      <alignment horizontal="left"/>
    </xf>
    <xf numFmtId="0" fontId="8" fillId="4" borderId="0" xfId="0" applyFont="1" applyFill="1" applyAlignment="1">
      <alignment horizontal="right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10" fontId="11" fillId="0" borderId="8" xfId="1" applyNumberFormat="1" applyFont="1" applyBorder="1" applyAlignment="1">
      <alignment horizontal="center"/>
    </xf>
    <xf numFmtId="10" fontId="11" fillId="0" borderId="9" xfId="1" applyNumberFormat="1" applyFont="1" applyBorder="1" applyAlignment="1">
      <alignment horizontal="center"/>
    </xf>
    <xf numFmtId="0" fontId="8" fillId="4" borderId="15" xfId="0" applyFont="1" applyFill="1" applyBorder="1" applyAlignment="1">
      <alignment horizontal="justify" wrapText="1"/>
    </xf>
    <xf numFmtId="0" fontId="8" fillId="4" borderId="0" xfId="0" applyFont="1" applyFill="1" applyAlignment="1">
      <alignment horizontal="justify" wrapText="1"/>
    </xf>
    <xf numFmtId="0" fontId="19" fillId="7" borderId="10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left"/>
    </xf>
  </cellXfs>
  <cellStyles count="7">
    <cellStyle name="Example" xfId="4" xr:uid="{C606996D-9751-470B-A501-7426BA11A61B}"/>
    <cellStyle name="Hyperlink" xfId="2" builtinId="8"/>
    <cellStyle name="NavigationLink" xfId="3" xr:uid="{FA495EB2-8BE2-4F10-BE62-A8844A1EC98F}"/>
    <cellStyle name="Normal" xfId="0" builtinId="0"/>
    <cellStyle name="Normal 5" xfId="5" xr:uid="{38B860E3-A3D5-4ED2-9317-9B47DE2C2B99}"/>
    <cellStyle name="Percent" xfId="1" builtinId="5"/>
    <cellStyle name="TopLink" xfId="6" xr:uid="{782E547F-4791-41BB-A466-A27457D1DFF8}"/>
  </cellStyles>
  <dxfs count="0"/>
  <tableStyles count="0" defaultTableStyle="TableStyleMedium2" defaultPivotStyle="PivotStyleLight16"/>
  <colors>
    <mruColors>
      <color rgb="FFEFE0D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Investment Opportunity</a:t>
            </a:r>
            <a:r>
              <a:rPr lang="en-US" sz="1100" baseline="0"/>
              <a:t> Set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Portfolios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E5-41A8-9090-9C1130C2FBD1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E5-41A8-9090-9C1130C2FBD1}"/>
              </c:ext>
            </c:extLst>
          </c:dPt>
          <c:xVal>
            <c:numRef>
              <c:f>'Investment Opportunity Set'!$J$14:$J$28</c:f>
              <c:numCache>
                <c:formatCode>0.0%</c:formatCode>
                <c:ptCount val="15"/>
                <c:pt idx="0">
                  <c:v>0.10373917334871542</c:v>
                </c:pt>
                <c:pt idx="1">
                  <c:v>9.4785663001624859E-2</c:v>
                </c:pt>
                <c:pt idx="2">
                  <c:v>8.5970506201301006E-2</c:v>
                </c:pt>
                <c:pt idx="3">
                  <c:v>7.7341025107156749E-2</c:v>
                </c:pt>
                <c:pt idx="4">
                  <c:v>6.8966952919578356E-2</c:v>
                </c:pt>
                <c:pt idx="5">
                  <c:v>6.0953648189951665E-2</c:v>
                </c:pt>
                <c:pt idx="6">
                  <c:v>5.3463576971476884E-2</c:v>
                </c:pt>
                <c:pt idx="7">
                  <c:v>4.674891549301697E-2</c:v>
                </c:pt>
                <c:pt idx="8">
                  <c:v>4.1190634120258744E-2</c:v>
                </c:pt>
                <c:pt idx="9">
                  <c:v>3.7309191641636784E-2</c:v>
                </c:pt>
                <c:pt idx="10">
                  <c:v>3.5656463999439288E-2</c:v>
                </c:pt>
                <c:pt idx="11">
                  <c:v>3.6536163881855654E-2</c:v>
                </c:pt>
                <c:pt idx="12">
                  <c:v>3.9780640011541926E-2</c:v>
                </c:pt>
                <c:pt idx="13">
                  <c:v>4.4879923913945546E-2</c:v>
                </c:pt>
                <c:pt idx="14">
                  <c:v>5.1283681845034929E-2</c:v>
                </c:pt>
              </c:numCache>
            </c:numRef>
          </c:xVal>
          <c:yVal>
            <c:numRef>
              <c:f>'Investment Opportunity Set'!$I$14:$I$28</c:f>
              <c:numCache>
                <c:formatCode>0.00%</c:formatCode>
                <c:ptCount val="15"/>
                <c:pt idx="0">
                  <c:v>0.10657714285714284</c:v>
                </c:pt>
                <c:pt idx="1">
                  <c:v>0.10237190476190478</c:v>
                </c:pt>
                <c:pt idx="2">
                  <c:v>9.8166666666666666E-2</c:v>
                </c:pt>
                <c:pt idx="3">
                  <c:v>9.3961428571428571E-2</c:v>
                </c:pt>
                <c:pt idx="4">
                  <c:v>8.9756190476190489E-2</c:v>
                </c:pt>
                <c:pt idx="5">
                  <c:v>8.5550952380952366E-2</c:v>
                </c:pt>
                <c:pt idx="6">
                  <c:v>8.1345714285714271E-2</c:v>
                </c:pt>
                <c:pt idx="7">
                  <c:v>7.714047619047619E-2</c:v>
                </c:pt>
                <c:pt idx="8">
                  <c:v>7.2935238095238095E-2</c:v>
                </c:pt>
                <c:pt idx="9">
                  <c:v>6.8729999999999986E-2</c:v>
                </c:pt>
                <c:pt idx="10">
                  <c:v>6.4524761904761904E-2</c:v>
                </c:pt>
                <c:pt idx="11">
                  <c:v>6.0319523809523802E-2</c:v>
                </c:pt>
                <c:pt idx="12">
                  <c:v>5.6114285714285707E-2</c:v>
                </c:pt>
                <c:pt idx="13">
                  <c:v>5.1909047619047612E-2</c:v>
                </c:pt>
                <c:pt idx="14">
                  <c:v>4.7703809523809509E-2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1D-44B7-97FE-DADE0502B573}"/>
            </c:ext>
          </c:extLst>
        </c:ser>
        <c:ser>
          <c:idx val="4"/>
          <c:order val="1"/>
          <c:tx>
            <c:v>Minimum Variance Portfolio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>
                  <a:alpha val="0"/>
                </a:srgbClr>
              </a:solidFill>
              <a:ln w="25400">
                <a:solidFill>
                  <a:srgbClr val="92D050"/>
                </a:solidFill>
              </a:ln>
              <a:effectLst/>
            </c:spPr>
          </c:marker>
          <c:xVal>
            <c:numRef>
              <c:f>'Investment Opportunity Set'!$N$22</c:f>
              <c:numCache>
                <c:formatCode>0.0%</c:formatCode>
                <c:ptCount val="1"/>
                <c:pt idx="0">
                  <c:v>3.5656463999439288E-2</c:v>
                </c:pt>
              </c:numCache>
            </c:numRef>
          </c:xVal>
          <c:yVal>
            <c:numRef>
              <c:f>'Investment Opportunity Set'!$M$22</c:f>
              <c:numCache>
                <c:formatCode>0.0%</c:formatCode>
                <c:ptCount val="1"/>
                <c:pt idx="0">
                  <c:v>6.4524761904761904E-2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BB-4724-B89A-E511A8742434}"/>
            </c:ext>
          </c:extLst>
        </c:ser>
        <c:ser>
          <c:idx val="1"/>
          <c:order val="2"/>
          <c:tx>
            <c:v>CAL Min Var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'Investment Opportunity Set'!$M$15:$M$16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3.5656463999439288E-2</c:v>
                </c:pt>
              </c:numCache>
            </c:numRef>
          </c:xVal>
          <c:yVal>
            <c:numRef>
              <c:f>'Investment Opportunity Set'!$N$15:$N$16</c:f>
              <c:numCache>
                <c:formatCode>General</c:formatCode>
                <c:ptCount val="2"/>
                <c:pt idx="0" formatCode="0%">
                  <c:v>0.03</c:v>
                </c:pt>
                <c:pt idx="1">
                  <c:v>6.4524761904761904E-2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56-4008-BC99-0EDBEF7A6A92}"/>
            </c:ext>
          </c:extLst>
        </c:ser>
        <c:ser>
          <c:idx val="2"/>
          <c:order val="3"/>
          <c:tx>
            <c:v>CAL All Stock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'Investment Opportunity Set'!$O$15:$O$16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8.5970506201301006E-2</c:v>
                </c:pt>
              </c:numCache>
            </c:numRef>
          </c:xVal>
          <c:yVal>
            <c:numRef>
              <c:f>'Investment Opportunity Set'!$P$15:$P$16</c:f>
              <c:numCache>
                <c:formatCode>0.00%</c:formatCode>
                <c:ptCount val="2"/>
                <c:pt idx="0" formatCode="0%">
                  <c:v>0.03</c:v>
                </c:pt>
                <c:pt idx="1">
                  <c:v>9.8166666666666666E-2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56-4008-BC99-0EDBEF7A6A92}"/>
            </c:ext>
          </c:extLst>
        </c:ser>
        <c:ser>
          <c:idx val="3"/>
          <c:order val="4"/>
          <c:tx>
            <c:v>CAL All Bond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'Investment Opportunity Set'!$O$19:$O$20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3.9780640011541926E-2</c:v>
                </c:pt>
              </c:numCache>
            </c:numRef>
          </c:xVal>
          <c:yVal>
            <c:numRef>
              <c:f>'Investment Opportunity Set'!$P$19:$P$20</c:f>
              <c:numCache>
                <c:formatCode>0.00%</c:formatCode>
                <c:ptCount val="2"/>
                <c:pt idx="0" formatCode="0%">
                  <c:v>0.03</c:v>
                </c:pt>
                <c:pt idx="1">
                  <c:v>5.6114285714285707E-2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56-4008-BC99-0EDBEF7A6A92}"/>
            </c:ext>
          </c:extLst>
        </c:ser>
        <c:ser>
          <c:idx val="5"/>
          <c:order val="5"/>
          <c:tx>
            <c:v>CAL Optimal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'Investment Opportunity Set'!$M$26:$M$27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3.922855603613197E-2</c:v>
                </c:pt>
              </c:numCache>
            </c:numRef>
          </c:xVal>
          <c:yVal>
            <c:numRef>
              <c:f>'Investment Opportunity Set'!$N$26:$N$27</c:f>
              <c:numCache>
                <c:formatCode>0.00%</c:formatCode>
                <c:ptCount val="2"/>
                <c:pt idx="0" formatCode="0%">
                  <c:v>0.03</c:v>
                </c:pt>
                <c:pt idx="1">
                  <c:v>7.1071030357830967E-2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56-4008-BC99-0EDBEF7A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valAx>
        <c:axId val="1757923104"/>
        <c:scaling>
          <c:orientation val="minMax"/>
          <c:max val="0.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</a:t>
                </a:r>
                <a:r>
                  <a:rPr lang="en-US" baseline="0"/>
                  <a:t> Standard Deviation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2162064"/>
        <c:crosses val="autoZero"/>
        <c:crossBetween val="midCat"/>
      </c:valAx>
      <c:valAx>
        <c:axId val="1822162064"/>
        <c:scaling>
          <c:orientation val="minMax"/>
          <c:max val="0.1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 Expected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92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122537</xdr:colOff>
      <xdr:row>10</xdr:row>
      <xdr:rowOff>176845</xdr:rowOff>
    </xdr:from>
    <xdr:to>
      <xdr:col>18</xdr:col>
      <xdr:colOff>122536</xdr:colOff>
      <xdr:row>34</xdr:row>
      <xdr:rowOff>30824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67C84-2DB1-493D-964F-6573A10A7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56C1-7107-44D9-8635-91149975930D}">
  <sheetPr codeName="Sheet6">
    <pageSetUpPr autoPageBreaks="0" fitToPage="1"/>
  </sheetPr>
  <dimension ref="A1:V41"/>
  <sheetViews>
    <sheetView tabSelected="1" zoomScale="145" zoomScaleNormal="145" workbookViewId="0">
      <pane ySplit="3" topLeftCell="A4" activePane="bottomLeft" state="frozen"/>
      <selection activeCell="D31" sqref="D31"/>
      <selection pane="bottomLeft" activeCell="A4" sqref="A4"/>
    </sheetView>
  </sheetViews>
  <sheetFormatPr defaultColWidth="8.85546875" defaultRowHeight="14.25" x14ac:dyDescent="0.2"/>
  <cols>
    <col min="1" max="1" width="2.5703125" style="3" customWidth="1"/>
    <col min="2" max="2" width="6.85546875" style="3" customWidth="1"/>
    <col min="3" max="3" width="10.28515625" style="3" customWidth="1"/>
    <col min="4" max="4" width="7.42578125" style="3" bestFit="1" customWidth="1"/>
    <col min="5" max="5" width="1.85546875" style="3" bestFit="1" customWidth="1"/>
    <col min="6" max="7" width="6.28515625" style="3" bestFit="1" customWidth="1"/>
    <col min="8" max="8" width="1.5703125" style="3" customWidth="1"/>
    <col min="9" max="9" width="8" style="3" bestFit="1" customWidth="1"/>
    <col min="10" max="10" width="7.5703125" style="3" bestFit="1" customWidth="1"/>
    <col min="11" max="13" width="8.85546875" style="3" customWidth="1"/>
    <col min="14" max="16384" width="8.85546875" style="3"/>
  </cols>
  <sheetData>
    <row r="1" spans="1:22" s="1" customFormat="1" ht="13.9" customHeight="1" x14ac:dyDescent="0.2">
      <c r="B1" s="86" t="s">
        <v>34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87"/>
      <c r="Q1" s="87"/>
    </row>
    <row r="2" spans="1:22" s="1" customFormat="1" ht="13.9" customHeight="1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</row>
    <row r="3" spans="1:22" s="2" customFormat="1" x14ac:dyDescent="0.2">
      <c r="I3" s="10"/>
      <c r="J3" s="10"/>
      <c r="K3" s="9"/>
      <c r="L3" s="5"/>
      <c r="N3" s="7"/>
      <c r="R3" s="6"/>
    </row>
    <row r="4" spans="1:22" x14ac:dyDescent="0.2">
      <c r="I4" s="4"/>
      <c r="J4" s="4"/>
      <c r="K4" s="4"/>
      <c r="L4" s="4"/>
      <c r="M4" s="4"/>
      <c r="N4" s="4"/>
    </row>
    <row r="5" spans="1:22" s="4" customFormat="1" ht="15" x14ac:dyDescent="0.25">
      <c r="B5" s="88" t="s">
        <v>33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2" s="4" customFormat="1" ht="15" customHeight="1" x14ac:dyDescent="0.2">
      <c r="B6" s="98" t="s">
        <v>21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22" s="4" customFormat="1" x14ac:dyDescent="0.2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22" s="4" customFormat="1" x14ac:dyDescent="0.2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22" s="4" customFormat="1" ht="15" thickBo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22" s="4" customFormat="1" ht="15.75" customHeight="1" thickBot="1" x14ac:dyDescent="0.25">
      <c r="B10" s="100" t="s">
        <v>16</v>
      </c>
      <c r="C10" s="101"/>
      <c r="D10" s="54">
        <v>0.03</v>
      </c>
      <c r="J10" s="76"/>
      <c r="K10" s="76"/>
      <c r="L10" s="76"/>
      <c r="M10" s="76"/>
      <c r="N10" s="76"/>
      <c r="O10" s="76"/>
      <c r="P10" s="76"/>
      <c r="Q10" s="76"/>
      <c r="R10" s="76"/>
    </row>
    <row r="11" spans="1:22" s="4" customFormat="1" ht="15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22" s="4" customFormat="1" ht="14.25" customHeight="1" thickBot="1" x14ac:dyDescent="0.25">
      <c r="B12" s="90" t="s">
        <v>8</v>
      </c>
      <c r="C12" s="91"/>
      <c r="D12" s="92"/>
      <c r="F12" s="90" t="s">
        <v>9</v>
      </c>
      <c r="G12" s="91"/>
      <c r="H12" s="91"/>
      <c r="I12" s="91"/>
      <c r="J12" s="92"/>
    </row>
    <row r="13" spans="1:22" s="4" customFormat="1" ht="14.25" customHeight="1" thickBot="1" x14ac:dyDescent="0.25">
      <c r="B13" s="53" t="s">
        <v>2</v>
      </c>
      <c r="C13" s="51" t="s">
        <v>6</v>
      </c>
      <c r="D13" s="52" t="s">
        <v>7</v>
      </c>
      <c r="F13" s="39" t="s">
        <v>12</v>
      </c>
      <c r="G13" s="40" t="s">
        <v>13</v>
      </c>
      <c r="H13" s="40"/>
      <c r="I13" s="40" t="s">
        <v>14</v>
      </c>
      <c r="J13" s="41" t="s">
        <v>15</v>
      </c>
      <c r="M13" s="55" t="s">
        <v>22</v>
      </c>
      <c r="N13" s="56"/>
      <c r="O13" s="55" t="s">
        <v>23</v>
      </c>
      <c r="P13" s="56"/>
      <c r="T13" s="8"/>
      <c r="U13" s="8"/>
      <c r="V13" s="8"/>
    </row>
    <row r="14" spans="1:22" s="4" customFormat="1" ht="14.25" customHeight="1" x14ac:dyDescent="0.2">
      <c r="A14" s="21">
        <v>20</v>
      </c>
      <c r="B14" s="30">
        <f ca="1">YEAR(TODAY())-A14</f>
        <v>2000</v>
      </c>
      <c r="C14" s="25">
        <f ca="1">RANDBETWEEN(-300,2500)/10000</f>
        <v>4.5199999999999997E-2</v>
      </c>
      <c r="D14" s="26">
        <f ca="1">RANDBETWEEN(-200,1200)/10000</f>
        <v>2.9899999999999999E-2</v>
      </c>
      <c r="E14" s="21" t="s">
        <v>11</v>
      </c>
      <c r="F14" s="44">
        <v>1.2</v>
      </c>
      <c r="G14" s="45">
        <v>-0.2</v>
      </c>
      <c r="H14" s="46" t="s">
        <v>11</v>
      </c>
      <c r="I14" s="47">
        <f t="shared" ref="I14:I28" ca="1" si="0">$C$36*F14+$D$36*G14</f>
        <v>0.10657714285714284</v>
      </c>
      <c r="J14" s="48">
        <f t="shared" ref="J14:J28" ca="1" si="1">SQRT(((F14*$C$37)^2)+((G14*$D$37)^2)+(2*F14*$C$37*G14*$D$37*$C$38))</f>
        <v>0.10373917334871542</v>
      </c>
      <c r="M14" s="57" t="s">
        <v>17</v>
      </c>
      <c r="N14" s="58" t="s">
        <v>18</v>
      </c>
      <c r="O14" s="57" t="s">
        <v>17</v>
      </c>
      <c r="P14" s="58" t="s">
        <v>18</v>
      </c>
      <c r="T14" s="8"/>
      <c r="U14" s="8"/>
      <c r="V14" s="8"/>
    </row>
    <row r="15" spans="1:22" s="4" customFormat="1" ht="14.25" customHeight="1" x14ac:dyDescent="0.2">
      <c r="A15" s="21">
        <v>19</v>
      </c>
      <c r="B15" s="31">
        <f t="shared" ref="B15:B34" ca="1" si="2">YEAR(TODAY())-A15</f>
        <v>2001</v>
      </c>
      <c r="C15" s="17">
        <f t="shared" ref="C15:C34" ca="1" si="3">RANDBETWEEN(-300,2500)/10000</f>
        <v>0.23899999999999999</v>
      </c>
      <c r="D15" s="18">
        <f t="shared" ref="D15:D34" ca="1" si="4">RANDBETWEEN(-200,1200)/10000</f>
        <v>6.5199999999999994E-2</v>
      </c>
      <c r="F15" s="14">
        <v>1.1000000000000001</v>
      </c>
      <c r="G15" s="12">
        <v>-0.1</v>
      </c>
      <c r="H15" s="12"/>
      <c r="I15" s="13">
        <f t="shared" ca="1" si="0"/>
        <v>0.10237190476190478</v>
      </c>
      <c r="J15" s="19">
        <f t="shared" ca="1" si="1"/>
        <v>9.4785663001624859E-2</v>
      </c>
      <c r="M15" s="57">
        <v>0</v>
      </c>
      <c r="N15" s="59">
        <f>D10</f>
        <v>0.03</v>
      </c>
      <c r="O15" s="62">
        <v>0</v>
      </c>
      <c r="P15" s="67">
        <f>D10</f>
        <v>0.03</v>
      </c>
      <c r="T15" s="8"/>
      <c r="U15" s="8"/>
      <c r="V15" s="8"/>
    </row>
    <row r="16" spans="1:22" s="4" customFormat="1" ht="14.25" customHeight="1" thickBot="1" x14ac:dyDescent="0.25">
      <c r="A16" s="21">
        <v>18</v>
      </c>
      <c r="B16" s="31">
        <f t="shared" ca="1" si="2"/>
        <v>2002</v>
      </c>
      <c r="C16" s="17">
        <f t="shared" ca="1" si="3"/>
        <v>0.16189999999999999</v>
      </c>
      <c r="D16" s="18">
        <f t="shared" ca="1" si="4"/>
        <v>0.1132</v>
      </c>
      <c r="F16" s="49">
        <v>1</v>
      </c>
      <c r="G16" s="42">
        <v>0</v>
      </c>
      <c r="H16" s="42"/>
      <c r="I16" s="43">
        <f t="shared" ca="1" si="0"/>
        <v>9.8166666666666666E-2</v>
      </c>
      <c r="J16" s="50">
        <f t="shared" ca="1" si="1"/>
        <v>8.5970506201301006E-2</v>
      </c>
      <c r="M16" s="60">
        <f ca="1">MIN(J14:J28)</f>
        <v>3.5656463999439288E-2</v>
      </c>
      <c r="N16" s="61">
        <f ca="1">INDEX(I14:I28,MATCH(M16,J14:J28,0))</f>
        <v>6.4524761904761904E-2</v>
      </c>
      <c r="O16" s="69">
        <f ca="1">J16</f>
        <v>8.5970506201301006E-2</v>
      </c>
      <c r="P16" s="68">
        <f ca="1">I16</f>
        <v>9.8166666666666666E-2</v>
      </c>
      <c r="T16" s="8"/>
      <c r="U16" s="8"/>
      <c r="V16" s="8"/>
    </row>
    <row r="17" spans="1:22" s="4" customFormat="1" ht="14.25" customHeight="1" x14ac:dyDescent="0.2">
      <c r="A17" s="21">
        <v>17</v>
      </c>
      <c r="B17" s="31">
        <f t="shared" ca="1" si="2"/>
        <v>2003</v>
      </c>
      <c r="C17" s="17">
        <f t="shared" ca="1" si="3"/>
        <v>0.13689999999999999</v>
      </c>
      <c r="D17" s="18">
        <f t="shared" ca="1" si="4"/>
        <v>0.11409999999999999</v>
      </c>
      <c r="F17" s="35">
        <v>0.9</v>
      </c>
      <c r="G17" s="36">
        <v>0.1</v>
      </c>
      <c r="H17" s="36"/>
      <c r="I17" s="37">
        <f t="shared" ca="1" si="0"/>
        <v>9.3961428571428571E-2</v>
      </c>
      <c r="J17" s="38">
        <f t="shared" ca="1" si="1"/>
        <v>7.7341025107156749E-2</v>
      </c>
      <c r="M17" s="63" t="s">
        <v>19</v>
      </c>
      <c r="O17" s="55" t="s">
        <v>24</v>
      </c>
      <c r="P17" s="56"/>
      <c r="T17" s="8"/>
      <c r="U17" s="8"/>
      <c r="V17" s="8"/>
    </row>
    <row r="18" spans="1:22" s="4" customFormat="1" ht="14.25" customHeight="1" x14ac:dyDescent="0.2">
      <c r="A18" s="21">
        <v>16</v>
      </c>
      <c r="B18" s="31">
        <f t="shared" ca="1" si="2"/>
        <v>2004</v>
      </c>
      <c r="C18" s="17">
        <f t="shared" ca="1" si="3"/>
        <v>6.4299999999999996E-2</v>
      </c>
      <c r="D18" s="18">
        <f t="shared" ca="1" si="4"/>
        <v>6.8999999999999999E-3</v>
      </c>
      <c r="F18" s="35">
        <v>0.8</v>
      </c>
      <c r="G18" s="36">
        <v>0.2</v>
      </c>
      <c r="H18" s="36"/>
      <c r="I18" s="37">
        <f t="shared" ca="1" si="0"/>
        <v>8.9756190476190489E-2</v>
      </c>
      <c r="J18" s="38">
        <f t="shared" ca="1" si="1"/>
        <v>6.8966952919578356E-2</v>
      </c>
      <c r="M18" s="64">
        <v>0.01</v>
      </c>
      <c r="O18" s="57" t="s">
        <v>17</v>
      </c>
      <c r="P18" s="58" t="s">
        <v>18</v>
      </c>
      <c r="T18" s="8"/>
      <c r="U18" s="8"/>
      <c r="V18" s="8"/>
    </row>
    <row r="19" spans="1:22" s="4" customFormat="1" ht="14.25" customHeight="1" x14ac:dyDescent="0.2">
      <c r="A19" s="21">
        <v>15</v>
      </c>
      <c r="B19" s="31">
        <f t="shared" ca="1" si="2"/>
        <v>2005</v>
      </c>
      <c r="C19" s="17">
        <f t="shared" ca="1" si="3"/>
        <v>-2.8199999999999999E-2</v>
      </c>
      <c r="D19" s="18">
        <f t="shared" ca="1" si="4"/>
        <v>0.1179</v>
      </c>
      <c r="F19" s="35">
        <v>0.7</v>
      </c>
      <c r="G19" s="36">
        <v>0.3</v>
      </c>
      <c r="H19" s="36"/>
      <c r="I19" s="37">
        <f t="shared" ca="1" si="0"/>
        <v>8.5550952380952366E-2</v>
      </c>
      <c r="J19" s="38">
        <f t="shared" ca="1" si="1"/>
        <v>6.0953648189951665E-2</v>
      </c>
      <c r="M19" s="64">
        <v>0.02</v>
      </c>
      <c r="O19" s="62">
        <v>0</v>
      </c>
      <c r="P19" s="67">
        <f>D10</f>
        <v>0.03</v>
      </c>
      <c r="T19" s="8"/>
      <c r="U19" s="8"/>
      <c r="V19" s="8"/>
    </row>
    <row r="20" spans="1:22" s="4" customFormat="1" ht="14.25" customHeight="1" thickBot="1" x14ac:dyDescent="0.25">
      <c r="A20" s="21">
        <v>14</v>
      </c>
      <c r="B20" s="31">
        <f t="shared" ca="1" si="2"/>
        <v>2006</v>
      </c>
      <c r="C20" s="17">
        <f t="shared" ca="1" si="3"/>
        <v>-1.5800000000000002E-2</v>
      </c>
      <c r="D20" s="18">
        <f t="shared" ca="1" si="4"/>
        <v>2.64E-2</v>
      </c>
      <c r="F20" s="35">
        <v>0.6</v>
      </c>
      <c r="G20" s="36">
        <v>0.4</v>
      </c>
      <c r="H20" s="36"/>
      <c r="I20" s="37">
        <f t="shared" ca="1" si="0"/>
        <v>8.1345714285714271E-2</v>
      </c>
      <c r="J20" s="38">
        <f t="shared" ca="1" si="1"/>
        <v>5.3463576971476884E-2</v>
      </c>
      <c r="M20" s="64">
        <v>0.03</v>
      </c>
      <c r="O20" s="69">
        <f ca="1">J26</f>
        <v>3.9780640011541926E-2</v>
      </c>
      <c r="P20" s="68">
        <f ca="1">I26</f>
        <v>5.6114285714285707E-2</v>
      </c>
      <c r="T20" s="8"/>
      <c r="U20" s="8"/>
      <c r="V20" s="8"/>
    </row>
    <row r="21" spans="1:22" s="4" customFormat="1" ht="14.25" customHeight="1" x14ac:dyDescent="0.2">
      <c r="A21" s="21">
        <v>13</v>
      </c>
      <c r="B21" s="31">
        <f t="shared" ca="1" si="2"/>
        <v>2007</v>
      </c>
      <c r="C21" s="17">
        <f t="shared" ca="1" si="3"/>
        <v>-1.14E-2</v>
      </c>
      <c r="D21" s="18">
        <f t="shared" ca="1" si="4"/>
        <v>7.2999999999999995E-2</v>
      </c>
      <c r="F21" s="35">
        <v>0.5</v>
      </c>
      <c r="G21" s="36">
        <v>0.5</v>
      </c>
      <c r="H21" s="36"/>
      <c r="I21" s="37">
        <f t="shared" ca="1" si="0"/>
        <v>7.714047619047619E-2</v>
      </c>
      <c r="J21" s="38">
        <f t="shared" ca="1" si="1"/>
        <v>4.674891549301697E-2</v>
      </c>
      <c r="M21" s="55" t="s">
        <v>20</v>
      </c>
      <c r="N21" s="56"/>
      <c r="T21" s="8"/>
      <c r="U21" s="8"/>
      <c r="V21" s="8"/>
    </row>
    <row r="22" spans="1:22" s="4" customFormat="1" ht="14.25" customHeight="1" thickBot="1" x14ac:dyDescent="0.25">
      <c r="A22" s="21">
        <v>12</v>
      </c>
      <c r="B22" s="31">
        <f t="shared" ca="1" si="2"/>
        <v>2008</v>
      </c>
      <c r="C22" s="17">
        <f t="shared" ca="1" si="3"/>
        <v>7.9399999999999998E-2</v>
      </c>
      <c r="D22" s="18">
        <f t="shared" ca="1" si="4"/>
        <v>0.1008</v>
      </c>
      <c r="F22" s="35">
        <v>0.4</v>
      </c>
      <c r="G22" s="36">
        <v>0.6</v>
      </c>
      <c r="H22" s="36"/>
      <c r="I22" s="37">
        <f t="shared" ca="1" si="0"/>
        <v>7.2935238095238095E-2</v>
      </c>
      <c r="J22" s="38">
        <f t="shared" ca="1" si="1"/>
        <v>4.1190634120258744E-2</v>
      </c>
      <c r="M22" s="65">
        <f ca="1">INDEX(I14:I28,MATCH(N22,J14:J28,0))</f>
        <v>6.4524761904761904E-2</v>
      </c>
      <c r="N22" s="66">
        <f ca="1">MIN(J14:J28)</f>
        <v>3.5656463999439288E-2</v>
      </c>
      <c r="T22" s="8"/>
      <c r="U22" s="8"/>
      <c r="V22" s="8"/>
    </row>
    <row r="23" spans="1:22" s="4" customFormat="1" ht="14.25" customHeight="1" thickBot="1" x14ac:dyDescent="0.25">
      <c r="A23" s="21">
        <v>11</v>
      </c>
      <c r="B23" s="31">
        <f t="shared" ca="1" si="2"/>
        <v>2009</v>
      </c>
      <c r="C23" s="17">
        <f t="shared" ca="1" si="3"/>
        <v>0.20230000000000001</v>
      </c>
      <c r="D23" s="18">
        <f t="shared" ca="1" si="4"/>
        <v>4.0599999999999997E-2</v>
      </c>
      <c r="F23" s="35">
        <v>0.3</v>
      </c>
      <c r="G23" s="36">
        <v>0.7</v>
      </c>
      <c r="H23" s="36"/>
      <c r="I23" s="37">
        <f t="shared" ca="1" si="0"/>
        <v>6.8729999999999986E-2</v>
      </c>
      <c r="J23" s="38">
        <f t="shared" ca="1" si="1"/>
        <v>3.7309191641636784E-2</v>
      </c>
      <c r="T23" s="8"/>
      <c r="U23" s="8"/>
      <c r="V23" s="8"/>
    </row>
    <row r="24" spans="1:22" s="4" customFormat="1" ht="14.25" customHeight="1" x14ac:dyDescent="0.2">
      <c r="A24" s="21">
        <v>10</v>
      </c>
      <c r="B24" s="31">
        <f t="shared" ca="1" si="2"/>
        <v>2010</v>
      </c>
      <c r="C24" s="17">
        <f t="shared" ca="1" si="3"/>
        <v>0.21510000000000001</v>
      </c>
      <c r="D24" s="18">
        <f t="shared" ca="1" si="4"/>
        <v>9.0200000000000002E-2</v>
      </c>
      <c r="F24" s="35">
        <v>0.2</v>
      </c>
      <c r="G24" s="36">
        <v>0.8</v>
      </c>
      <c r="H24" s="36"/>
      <c r="I24" s="37">
        <f t="shared" ca="1" si="0"/>
        <v>6.4524761904761904E-2</v>
      </c>
      <c r="J24" s="38">
        <f t="shared" ca="1" si="1"/>
        <v>3.5656463999439288E-2</v>
      </c>
      <c r="M24" s="55" t="s">
        <v>28</v>
      </c>
      <c r="N24" s="56"/>
      <c r="T24" s="8"/>
      <c r="U24" s="8"/>
      <c r="V24" s="8"/>
    </row>
    <row r="25" spans="1:22" s="4" customFormat="1" ht="14.25" customHeight="1" x14ac:dyDescent="0.2">
      <c r="A25" s="21">
        <v>9</v>
      </c>
      <c r="B25" s="31">
        <f t="shared" ca="1" si="2"/>
        <v>2011</v>
      </c>
      <c r="C25" s="17">
        <f t="shared" ca="1" si="3"/>
        <v>0.17879999999999999</v>
      </c>
      <c r="D25" s="18">
        <f t="shared" ca="1" si="4"/>
        <v>-1.5800000000000002E-2</v>
      </c>
      <c r="F25" s="35">
        <v>0.1</v>
      </c>
      <c r="G25" s="36">
        <v>0.9</v>
      </c>
      <c r="H25" s="36"/>
      <c r="I25" s="37">
        <f t="shared" ca="1" si="0"/>
        <v>6.0319523809523802E-2</v>
      </c>
      <c r="J25" s="38">
        <f t="shared" ca="1" si="1"/>
        <v>3.6536163881855654E-2</v>
      </c>
      <c r="M25" s="57" t="s">
        <v>17</v>
      </c>
      <c r="N25" s="58" t="s">
        <v>18</v>
      </c>
      <c r="T25" s="8"/>
      <c r="U25" s="8"/>
      <c r="V25" s="8"/>
    </row>
    <row r="26" spans="1:22" s="4" customFormat="1" ht="14.25" customHeight="1" x14ac:dyDescent="0.2">
      <c r="A26" s="21">
        <v>8</v>
      </c>
      <c r="B26" s="31">
        <f t="shared" ca="1" si="2"/>
        <v>2012</v>
      </c>
      <c r="C26" s="17">
        <f t="shared" ca="1" si="3"/>
        <v>-1.09E-2</v>
      </c>
      <c r="D26" s="18">
        <f t="shared" ca="1" si="4"/>
        <v>9.6600000000000005E-2</v>
      </c>
      <c r="F26" s="49">
        <v>0</v>
      </c>
      <c r="G26" s="42">
        <v>1</v>
      </c>
      <c r="H26" s="42"/>
      <c r="I26" s="43">
        <f t="shared" ca="1" si="0"/>
        <v>5.6114285714285707E-2</v>
      </c>
      <c r="J26" s="50">
        <f t="shared" ca="1" si="1"/>
        <v>3.9780640011541926E-2</v>
      </c>
      <c r="M26" s="57">
        <f>0</f>
        <v>0</v>
      </c>
      <c r="N26" s="59">
        <f>D10</f>
        <v>0.03</v>
      </c>
      <c r="T26" s="8"/>
      <c r="U26" s="8"/>
      <c r="V26" s="8"/>
    </row>
    <row r="27" spans="1:22" s="4" customFormat="1" ht="14.25" customHeight="1" thickBot="1" x14ac:dyDescent="0.25">
      <c r="A27" s="21">
        <v>7</v>
      </c>
      <c r="B27" s="31">
        <f t="shared" ca="1" si="2"/>
        <v>2013</v>
      </c>
      <c r="C27" s="17">
        <f t="shared" ca="1" si="3"/>
        <v>9.3799999999999994E-2</v>
      </c>
      <c r="D27" s="18">
        <f t="shared" ca="1" si="4"/>
        <v>3.9899999999999998E-2</v>
      </c>
      <c r="F27" s="14">
        <v>-0.1</v>
      </c>
      <c r="G27" s="12">
        <v>1.1000000000000001</v>
      </c>
      <c r="H27" s="12"/>
      <c r="I27" s="13">
        <f t="shared" ca="1" si="0"/>
        <v>5.1909047619047612E-2</v>
      </c>
      <c r="J27" s="19">
        <f t="shared" ca="1" si="1"/>
        <v>4.4879923913945546E-2</v>
      </c>
      <c r="M27" s="72">
        <f ca="1">J32</f>
        <v>3.922855603613197E-2</v>
      </c>
      <c r="N27" s="73">
        <f ca="1">I32</f>
        <v>7.1071030357830967E-2</v>
      </c>
      <c r="T27" s="8"/>
      <c r="U27" s="8"/>
      <c r="V27" s="8"/>
    </row>
    <row r="28" spans="1:22" s="4" customFormat="1" ht="14.25" customHeight="1" thickBot="1" x14ac:dyDescent="0.25">
      <c r="A28" s="21">
        <v>6</v>
      </c>
      <c r="B28" s="31">
        <f t="shared" ca="1" si="2"/>
        <v>2014</v>
      </c>
      <c r="C28" s="17">
        <f t="shared" ca="1" si="3"/>
        <v>0.1041</v>
      </c>
      <c r="D28" s="18">
        <f t="shared" ca="1" si="4"/>
        <v>5.9999999999999995E-4</v>
      </c>
      <c r="F28" s="15">
        <v>-0.2</v>
      </c>
      <c r="G28" s="16">
        <v>1.2</v>
      </c>
      <c r="H28" s="16"/>
      <c r="I28" s="29">
        <f t="shared" ca="1" si="0"/>
        <v>4.7703809523809509E-2</v>
      </c>
      <c r="J28" s="20">
        <f t="shared" ca="1" si="1"/>
        <v>5.1283681845034929E-2</v>
      </c>
      <c r="T28" s="8"/>
      <c r="U28" s="8"/>
      <c r="V28" s="8"/>
    </row>
    <row r="29" spans="1:22" s="4" customFormat="1" ht="14.25" customHeight="1" thickBot="1" x14ac:dyDescent="0.25">
      <c r="A29" s="21">
        <v>5</v>
      </c>
      <c r="B29" s="31">
        <f t="shared" ca="1" si="2"/>
        <v>2015</v>
      </c>
      <c r="C29" s="17">
        <f t="shared" ca="1" si="3"/>
        <v>9.7299999999999998E-2</v>
      </c>
      <c r="D29" s="18">
        <f t="shared" ca="1" si="4"/>
        <v>2.63E-2</v>
      </c>
      <c r="G29" s="8"/>
      <c r="H29" s="8"/>
      <c r="I29" s="8"/>
      <c r="J29" s="8"/>
      <c r="T29" s="8"/>
      <c r="U29" s="8"/>
      <c r="V29" s="8"/>
    </row>
    <row r="30" spans="1:22" s="4" customFormat="1" ht="14.25" customHeight="1" thickBot="1" x14ac:dyDescent="0.25">
      <c r="A30" s="21">
        <v>4</v>
      </c>
      <c r="B30" s="31">
        <f t="shared" ca="1" si="2"/>
        <v>2016</v>
      </c>
      <c r="C30" s="17">
        <f t="shared" ca="1" si="3"/>
        <v>2.8799999999999999E-2</v>
      </c>
      <c r="D30" s="18">
        <f t="shared" ca="1" si="4"/>
        <v>7.3499999999999996E-2</v>
      </c>
      <c r="F30" s="90" t="s">
        <v>27</v>
      </c>
      <c r="G30" s="91"/>
      <c r="H30" s="91"/>
      <c r="I30" s="91"/>
      <c r="J30" s="92"/>
    </row>
    <row r="31" spans="1:22" s="4" customFormat="1" ht="14.25" customHeight="1" x14ac:dyDescent="0.2">
      <c r="A31" s="21">
        <v>3</v>
      </c>
      <c r="B31" s="31">
        <f t="shared" ca="1" si="2"/>
        <v>2017</v>
      </c>
      <c r="C31" s="17">
        <f t="shared" ca="1" si="3"/>
        <v>0.24179999999999999</v>
      </c>
      <c r="D31" s="18">
        <f t="shared" ca="1" si="4"/>
        <v>3.3799999999999997E-2</v>
      </c>
      <c r="F31" s="39" t="s">
        <v>12</v>
      </c>
      <c r="G31" s="40" t="s">
        <v>13</v>
      </c>
      <c r="H31" s="40"/>
      <c r="I31" s="40" t="s">
        <v>14</v>
      </c>
      <c r="J31" s="41" t="s">
        <v>15</v>
      </c>
    </row>
    <row r="32" spans="1:22" s="4" customFormat="1" ht="14.25" customHeight="1" thickBot="1" x14ac:dyDescent="0.25">
      <c r="A32" s="21">
        <v>2</v>
      </c>
      <c r="B32" s="31">
        <f t="shared" ca="1" si="2"/>
        <v>2018</v>
      </c>
      <c r="C32" s="17">
        <f t="shared" ca="1" si="3"/>
        <v>3.4700000000000002E-2</v>
      </c>
      <c r="D32" s="18">
        <f t="shared" ca="1" si="4"/>
        <v>3.9300000000000002E-2</v>
      </c>
      <c r="F32" s="74">
        <f ca="1">1-G32</f>
        <v>0.35566938910027202</v>
      </c>
      <c r="G32" s="75">
        <f ca="1">((D36-D10)*(C37^2) - ( C36 - D10  )*D37*C37*C38 )   / (  (D36-D10)  *(C37^2)+ (C36-D10 )*(D37^2) - (D36-D10+C36-D10)*D37*C37*C38)</f>
        <v>0.64433061089972798</v>
      </c>
      <c r="H32" s="71"/>
      <c r="I32" s="29">
        <f ca="1">$C$36*F32+$D$36*G32</f>
        <v>7.1071030357830967E-2</v>
      </c>
      <c r="J32" s="20">
        <f ca="1">SQRT(((F32*$C$37)^2)+((G32*$D$37)^2)+(2*F32*$C$37*G32*$D$37*$C$38))</f>
        <v>3.922855603613197E-2</v>
      </c>
    </row>
    <row r="33" spans="1:18" s="4" customFormat="1" ht="14.25" customHeight="1" thickBot="1" x14ac:dyDescent="0.25">
      <c r="A33" s="21">
        <v>1</v>
      </c>
      <c r="B33" s="31">
        <f t="shared" ca="1" si="2"/>
        <v>2019</v>
      </c>
      <c r="C33" s="17">
        <f t="shared" ca="1" si="3"/>
        <v>0.1799</v>
      </c>
      <c r="D33" s="18">
        <f t="shared" ca="1" si="4"/>
        <v>9.0999999999999998E-2</v>
      </c>
    </row>
    <row r="34" spans="1:18" s="4" customFormat="1" ht="14.25" customHeight="1" thickBot="1" x14ac:dyDescent="0.25">
      <c r="A34" s="21">
        <v>0</v>
      </c>
      <c r="B34" s="32">
        <f t="shared" ca="1" si="2"/>
        <v>2020</v>
      </c>
      <c r="C34" s="22">
        <f t="shared" ca="1" si="3"/>
        <v>2.4500000000000001E-2</v>
      </c>
      <c r="D34" s="23">
        <f t="shared" ca="1" si="4"/>
        <v>1.4999999999999999E-2</v>
      </c>
      <c r="F34" s="90" t="s">
        <v>31</v>
      </c>
      <c r="G34" s="91"/>
      <c r="H34" s="91"/>
      <c r="I34" s="91"/>
      <c r="J34" s="92"/>
    </row>
    <row r="35" spans="1:18" s="4" customFormat="1" ht="14.25" customHeight="1" thickBot="1" x14ac:dyDescent="0.25">
      <c r="B35" s="93" t="s">
        <v>5</v>
      </c>
      <c r="C35" s="94"/>
      <c r="D35" s="95"/>
      <c r="F35" s="83" t="s">
        <v>32</v>
      </c>
      <c r="G35" s="77"/>
      <c r="H35" s="77"/>
      <c r="I35" s="77"/>
      <c r="J35" s="78">
        <f ca="1">(N15-N16)/(M15-M16)</f>
        <v>0.96826095558170944</v>
      </c>
    </row>
    <row r="36" spans="1:18" s="4" customFormat="1" ht="14.25" customHeight="1" x14ac:dyDescent="0.2">
      <c r="B36" s="31" t="s">
        <v>4</v>
      </c>
      <c r="C36" s="27">
        <f ca="1">AVERAGE(C14:C34)</f>
        <v>9.8166666666666666E-2</v>
      </c>
      <c r="D36" s="28">
        <f ca="1">AVERAGE(D14:D34)</f>
        <v>5.6114285714285707E-2</v>
      </c>
      <c r="F36" s="84" t="s">
        <v>25</v>
      </c>
      <c r="G36" s="79"/>
      <c r="H36" s="79"/>
      <c r="I36" s="79"/>
      <c r="J36" s="80">
        <f ca="1">(I16-D10)/J16</f>
        <v>0.79290758748184609</v>
      </c>
    </row>
    <row r="37" spans="1:18" s="4" customFormat="1" ht="15" customHeight="1" x14ac:dyDescent="0.25">
      <c r="B37" s="33" t="s">
        <v>29</v>
      </c>
      <c r="C37" s="17">
        <f ca="1">_xlfn.STDEV.P(C14:C34)</f>
        <v>8.5970506201301006E-2</v>
      </c>
      <c r="D37" s="18">
        <f ca="1">_xlfn.STDEV.P(D14:D34)</f>
        <v>3.9780640011541926E-2</v>
      </c>
      <c r="F37" s="84" t="s">
        <v>26</v>
      </c>
      <c r="G37" s="79"/>
      <c r="H37" s="79"/>
      <c r="I37" s="79"/>
      <c r="J37" s="81">
        <f ca="1">(I26-D10)/J26</f>
        <v>0.65645715369860635</v>
      </c>
    </row>
    <row r="38" spans="1:18" s="4" customFormat="1" ht="15" customHeight="1" thickBot="1" x14ac:dyDescent="0.3">
      <c r="B38" s="34" t="s">
        <v>3</v>
      </c>
      <c r="C38" s="96">
        <f ca="1">CORREL(C14:C34,D14:D34)</f>
        <v>-3.385752143963229E-2</v>
      </c>
      <c r="D38" s="97"/>
      <c r="F38" s="85" t="s">
        <v>30</v>
      </c>
      <c r="G38" s="70"/>
      <c r="H38" s="70"/>
      <c r="I38" s="70"/>
      <c r="J38" s="82">
        <f ca="1">(I32-D10)/J32</f>
        <v>1.0469676814003035</v>
      </c>
    </row>
    <row r="39" spans="1:18" s="4" customFormat="1" ht="15" customHeight="1" x14ac:dyDescent="0.2">
      <c r="B39" s="89" t="s">
        <v>10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s="4" customFormat="1" x14ac:dyDescent="0.2">
      <c r="A40" s="11"/>
      <c r="B40" s="4" t="s">
        <v>0</v>
      </c>
      <c r="Q40" s="89" t="s">
        <v>1</v>
      </c>
      <c r="R40" s="89"/>
    </row>
    <row r="41" spans="1:18" s="4" customFormat="1" x14ac:dyDescent="0.2"/>
  </sheetData>
  <mergeCells count="13">
    <mergeCell ref="B1:M2"/>
    <mergeCell ref="N1:Q2"/>
    <mergeCell ref="B5:R5"/>
    <mergeCell ref="Q40:R40"/>
    <mergeCell ref="B39:R39"/>
    <mergeCell ref="B12:D12"/>
    <mergeCell ref="F12:J12"/>
    <mergeCell ref="B35:D35"/>
    <mergeCell ref="C38:D38"/>
    <mergeCell ref="B6:R8"/>
    <mergeCell ref="B10:C10"/>
    <mergeCell ref="F30:J30"/>
    <mergeCell ref="F34:J34"/>
  </mergeCells>
  <dataValidations count="1">
    <dataValidation type="list" allowBlank="1" showInputMessage="1" showErrorMessage="1" sqref="D10" xr:uid="{BCBAB718-C9DE-405E-890A-F4FF7F68C9A0}">
      <formula1>$M$18:$M$20</formula1>
    </dataValidation>
  </dataValidations>
  <hyperlinks>
    <hyperlink ref="B40" location="Home4" display="▲Top" xr:uid="{6C9EA54D-6539-4DC9-88F4-22D5722F00F4}"/>
  </hyperlinks>
  <pageMargins left="0.7" right="0.7" top="0.75" bottom="0.75" header="0.3" footer="0.3"/>
  <pageSetup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Investment Opportunity Set</vt:lpstr>
      <vt:lpstr>Home4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2020-08-08T14:49:32Z</dcterms:created>
  <dcterms:modified xsi:type="dcterms:W3CDTF">2020-08-22T11:32:43Z</dcterms:modified>
</cp:coreProperties>
</file>